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GDP Current Prices (% Contrib)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44"/>
  <c r="D43"/>
  <c r="D42"/>
  <c r="D41"/>
  <c r="D40"/>
  <c r="D39"/>
  <c r="D38"/>
  <c r="D37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44"/>
  <c r="C43"/>
  <c r="C42"/>
  <c r="C41"/>
  <c r="C40"/>
  <c r="C39"/>
  <c r="C38"/>
  <c r="C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<sst xmlns="http://schemas.openxmlformats.org/spreadsheetml/2006/main" count="79" uniqueCount="79">
  <si>
    <t xml:space="preserve">  Petroleum and natural gas distribution</t>
  </si>
  <si>
    <t xml:space="preserve">  Manufacture of Petrochemicals</t>
  </si>
  <si>
    <t xml:space="preserve">  Refining (incl. LNG)</t>
  </si>
  <si>
    <t xml:space="preserve">  Petroleum support services</t>
  </si>
  <si>
    <t xml:space="preserve">  Asphalt </t>
  </si>
  <si>
    <t xml:space="preserve">  Natural gas exploration and extraction</t>
  </si>
  <si>
    <t xml:space="preserve">  Condensate extraction</t>
  </si>
  <si>
    <t xml:space="preserve">  Crude oil exploration and extraction</t>
  </si>
  <si>
    <t>Of which</t>
  </si>
  <si>
    <t>GDP at purchaser prices</t>
  </si>
  <si>
    <t>Taxes less subsidies on products</t>
  </si>
  <si>
    <t>GDP at basic prices</t>
  </si>
  <si>
    <t>T</t>
  </si>
  <si>
    <t>Domestic services</t>
  </si>
  <si>
    <t>S</t>
  </si>
  <si>
    <t>Other service activities</t>
  </si>
  <si>
    <t>R</t>
  </si>
  <si>
    <t>Arts, entertainment and recreation</t>
  </si>
  <si>
    <t>Q</t>
  </si>
  <si>
    <t>Human health and social work</t>
  </si>
  <si>
    <t>P</t>
  </si>
  <si>
    <t>Education</t>
  </si>
  <si>
    <t>O</t>
  </si>
  <si>
    <t>Public administration</t>
  </si>
  <si>
    <t>N</t>
  </si>
  <si>
    <t>Administrative and support services</t>
  </si>
  <si>
    <t>M</t>
  </si>
  <si>
    <t>Professional, scientific and technical</t>
  </si>
  <si>
    <t>L</t>
  </si>
  <si>
    <t>Real estate activities</t>
  </si>
  <si>
    <t>K</t>
  </si>
  <si>
    <t>Financial and insurance activities</t>
  </si>
  <si>
    <t>J</t>
  </si>
  <si>
    <t>Information and communication</t>
  </si>
  <si>
    <t>I</t>
  </si>
  <si>
    <t>Accommodation and food services</t>
  </si>
  <si>
    <t>H</t>
  </si>
  <si>
    <t>Transport and storage</t>
  </si>
  <si>
    <t>G</t>
  </si>
  <si>
    <t>Trade and repairs</t>
  </si>
  <si>
    <t>F</t>
  </si>
  <si>
    <t>Construction</t>
  </si>
  <si>
    <t>E</t>
  </si>
  <si>
    <t>Water supply and sewerage</t>
  </si>
  <si>
    <t>D</t>
  </si>
  <si>
    <t>Electricity and gas</t>
  </si>
  <si>
    <t>CF-M</t>
  </si>
  <si>
    <t xml:space="preserve">  Other manufactured products</t>
  </si>
  <si>
    <t>CD-E</t>
  </si>
  <si>
    <t xml:space="preserve">  Petroleum and chemical products</t>
  </si>
  <si>
    <t>CB-C</t>
  </si>
  <si>
    <t xml:space="preserve">  Textiles, clothing, leather, wood, paper and printing</t>
  </si>
  <si>
    <t>CA</t>
  </si>
  <si>
    <t xml:space="preserve">  Food, beverages and tobacco products</t>
  </si>
  <si>
    <t>C</t>
  </si>
  <si>
    <t>Manufacturing</t>
  </si>
  <si>
    <t>B</t>
  </si>
  <si>
    <t>Mining and quarrying</t>
  </si>
  <si>
    <t>A</t>
  </si>
  <si>
    <t>Agriculture, forestry and fishing</t>
  </si>
  <si>
    <t>GDP at market prices</t>
  </si>
  <si>
    <t>2016</t>
  </si>
  <si>
    <t>2015</t>
  </si>
  <si>
    <t>2014</t>
  </si>
  <si>
    <t>2013</t>
  </si>
  <si>
    <t>industry/sub-industry.</t>
  </si>
  <si>
    <t xml:space="preserve">Trinidad and Tobago System of National Accounts </t>
  </si>
  <si>
    <t xml:space="preserve">Item </t>
  </si>
  <si>
    <r>
      <t>Less FISIM</t>
    </r>
    <r>
      <rPr>
        <i/>
        <vertAlign val="superscript"/>
        <sz val="10"/>
        <rFont val="Arial"/>
        <family val="2"/>
      </rPr>
      <t>2</t>
    </r>
  </si>
  <si>
    <t>Source: Central Statistical Office</t>
  </si>
  <si>
    <t>2017</t>
  </si>
  <si>
    <t>2018</t>
  </si>
  <si>
    <r>
      <t>ISIC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</si>
  <si>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1/ </t>
    </r>
    <r>
      <rPr>
        <sz val="9"/>
        <color theme="1"/>
        <rFont val="Calibri"/>
        <family val="2"/>
        <scheme val="minor"/>
      </rPr>
      <t>Designation of the section in the International Standard Industrial Classification of All Economic Activities, Revision 4 (ISIC. Rev 4) that corresponds to the</t>
    </r>
  </si>
  <si>
    <r>
      <rPr>
        <vertAlign val="superscript"/>
        <sz val="9"/>
        <color theme="1"/>
        <rFont val="Calibri"/>
        <family val="2"/>
        <scheme val="minor"/>
      </rPr>
      <t>2/</t>
    </r>
    <r>
      <rPr>
        <sz val="9"/>
        <color theme="1"/>
        <rFont val="Calibri"/>
        <family val="2"/>
        <scheme val="minor"/>
      </rPr>
      <t xml:space="preserve"> Financial Intermediation Services Indirectly Measured. FISIM has not been allocated to intermediate consumption by economic activity.   </t>
    </r>
  </si>
  <si>
    <t xml:space="preserve">Gross Domestic Product (GDP) by Economic Activity </t>
  </si>
  <si>
    <t>2019</t>
  </si>
  <si>
    <t>Current Prices (% contribution)</t>
  </si>
  <si>
    <t>2012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</si>
</sst>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#,##0_ ;[Red]\-#,##0\ "/>
    <numFmt numFmtId="166" formatCode="_-* #,##0_-;\-* #,##0_-;_-* &quot;-&quot;??_-;_-@_-"/>
    <numFmt numFmtId="167" formatCode="#,##0.0_);\(#,##0.0\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65" fontId="0" fillId="0" borderId="0" xfId="0" applyNumberFormat="1" applyFill="1"/>
    <xf numFmtId="166" fontId="0" fillId="0" borderId="0" xfId="1" applyNumberFormat="1" applyFont="1" applyFill="1"/>
    <xf numFmtId="43" fontId="0" fillId="0" borderId="1" xfId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 indent="1"/>
    </xf>
    <xf numFmtId="43" fontId="0" fillId="0" borderId="0" xfId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43" fontId="2" fillId="0" borderId="0" xfId="1" applyFont="1" applyFill="1" applyBorder="1" applyAlignment="1">
      <alignment horizontal="left"/>
    </xf>
    <xf numFmtId="164" fontId="2" fillId="0" borderId="0" xfId="3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/>
    <xf numFmtId="164" fontId="2" fillId="0" borderId="0" xfId="3" applyNumberFormat="1" applyFont="1" applyFill="1" applyBorder="1" applyAlignment="1" applyProtection="1"/>
    <xf numFmtId="164" fontId="0" fillId="0" borderId="0" xfId="0" applyNumberFormat="1" applyFill="1" applyBorder="1"/>
    <xf numFmtId="165" fontId="0" fillId="0" borderId="0" xfId="0" applyNumberForma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0" fontId="6" fillId="0" borderId="0" xfId="0" applyFont="1"/>
    <xf numFmtId="167" fontId="0" fillId="0" borderId="0" xfId="1" applyNumberFormat="1" applyFont="1" applyFill="1"/>
    <xf numFmtId="49" fontId="7" fillId="0" borderId="2" xfId="0" applyNumberFormat="1" applyFont="1" applyFill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166" fontId="7" fillId="0" borderId="0" xfId="1" applyNumberFormat="1" applyFont="1" applyFill="1"/>
    <xf numFmtId="165" fontId="7" fillId="0" borderId="0" xfId="0" applyNumberFormat="1" applyFont="1" applyFill="1"/>
    <xf numFmtId="0" fontId="0" fillId="2" borderId="0" xfId="0" applyFill="1"/>
    <xf numFmtId="0" fontId="6" fillId="2" borderId="0" xfId="0" applyFont="1" applyFill="1"/>
    <xf numFmtId="167" fontId="10" fillId="0" borderId="0" xfId="0" applyNumberFormat="1" applyFont="1"/>
    <xf numFmtId="167" fontId="10" fillId="0" borderId="0" xfId="0" applyNumberFormat="1" applyFont="1" applyFill="1" applyBorder="1"/>
    <xf numFmtId="167" fontId="10" fillId="0" borderId="0" xfId="0" applyNumberFormat="1" applyFont="1" applyFill="1"/>
    <xf numFmtId="167" fontId="11" fillId="0" borderId="2" xfId="0" applyNumberFormat="1" applyFont="1" applyFill="1" applyBorder="1" applyAlignment="1">
      <alignment horizontal="center"/>
    </xf>
    <xf numFmtId="167" fontId="10" fillId="0" borderId="0" xfId="2" applyNumberFormat="1" applyFont="1" applyFill="1"/>
    <xf numFmtId="167" fontId="10" fillId="0" borderId="1" xfId="0" applyNumberFormat="1" applyFont="1" applyFill="1" applyBorder="1"/>
    <xf numFmtId="167" fontId="10" fillId="2" borderId="0" xfId="0" applyNumberFormat="1" applyFont="1" applyFill="1"/>
    <xf numFmtId="164" fontId="12" fillId="2" borderId="0" xfId="0" applyNumberFormat="1" applyFont="1" applyFill="1" applyBorder="1"/>
    <xf numFmtId="168" fontId="3" fillId="0" borderId="0" xfId="1" applyNumberFormat="1" applyFont="1" applyFill="1" applyBorder="1"/>
    <xf numFmtId="168" fontId="0" fillId="0" borderId="0" xfId="2" applyNumberFormat="1" applyFont="1" applyFill="1" applyBorder="1"/>
    <xf numFmtId="168" fontId="7" fillId="0" borderId="0" xfId="2" applyNumberFormat="1" applyFont="1" applyFill="1" applyBorder="1"/>
    <xf numFmtId="167" fontId="7" fillId="0" borderId="0" xfId="1" applyNumberFormat="1" applyFont="1" applyFill="1"/>
    <xf numFmtId="164" fontId="14" fillId="0" borderId="0" xfId="0" applyNumberFormat="1" applyFont="1" applyFill="1" applyBorder="1"/>
    <xf numFmtId="43" fontId="7" fillId="0" borderId="0" xfId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20" zoomScaleNormal="120" workbookViewId="0">
      <selection activeCell="O12" sqref="O12"/>
    </sheetView>
  </sheetViews>
  <sheetFormatPr defaultColWidth="9.140625" defaultRowHeight="15"/>
  <cols>
    <col min="1" max="1" width="44.28515625" customWidth="1"/>
    <col min="2" max="2" width="8.140625" bestFit="1" customWidth="1"/>
    <col min="3" max="3" width="8.140625" customWidth="1"/>
    <col min="4" max="9" width="10.42578125" style="25" customWidth="1"/>
    <col min="11" max="12" width="10.28515625" bestFit="1" customWidth="1"/>
  </cols>
  <sheetData>
    <row r="1" spans="1:18">
      <c r="A1" t="s">
        <v>66</v>
      </c>
    </row>
    <row r="2" spans="1:18" s="1" customFormat="1">
      <c r="A2" s="16" t="s">
        <v>75</v>
      </c>
      <c r="B2" s="5"/>
      <c r="C2" s="5"/>
      <c r="D2" s="26"/>
      <c r="E2" s="26"/>
      <c r="F2" s="27"/>
      <c r="G2" s="27"/>
      <c r="H2" s="27"/>
      <c r="I2" s="27"/>
      <c r="J2" s="2"/>
      <c r="K2" s="2"/>
      <c r="L2" s="2"/>
      <c r="M2" s="2"/>
      <c r="N2" s="2"/>
      <c r="O2" s="2"/>
    </row>
    <row r="3" spans="1:18" s="1" customFormat="1">
      <c r="A3" s="15" t="s">
        <v>77</v>
      </c>
      <c r="B3" s="5"/>
      <c r="C3" s="5"/>
      <c r="D3" s="26"/>
      <c r="E3" s="26"/>
      <c r="F3" s="27"/>
      <c r="G3" s="27"/>
      <c r="H3" s="27"/>
      <c r="I3" s="27"/>
      <c r="J3" s="2"/>
      <c r="K3" s="2"/>
      <c r="L3" s="2"/>
      <c r="M3" s="2"/>
      <c r="N3" s="2"/>
      <c r="O3" s="2"/>
    </row>
    <row r="4" spans="1:18" s="1" customFormat="1">
      <c r="A4" s="14"/>
      <c r="B4" s="5"/>
      <c r="C4" s="5"/>
      <c r="D4" s="26"/>
      <c r="E4" s="26"/>
      <c r="F4" s="27"/>
      <c r="G4" s="27"/>
      <c r="H4" s="27"/>
      <c r="I4" s="27"/>
      <c r="J4" s="2"/>
      <c r="K4" s="2"/>
      <c r="L4" s="2"/>
      <c r="M4" s="2"/>
      <c r="N4" s="2"/>
      <c r="O4" s="2"/>
    </row>
    <row r="5" spans="1:18" s="22" customFormat="1" ht="17.25">
      <c r="A5" s="19" t="s">
        <v>67</v>
      </c>
      <c r="B5" s="20" t="s">
        <v>72</v>
      </c>
      <c r="C5" s="28" t="s">
        <v>78</v>
      </c>
      <c r="D5" s="28" t="s">
        <v>64</v>
      </c>
      <c r="E5" s="28" t="s">
        <v>63</v>
      </c>
      <c r="F5" s="28" t="s">
        <v>62</v>
      </c>
      <c r="G5" s="28" t="s">
        <v>61</v>
      </c>
      <c r="H5" s="28" t="s">
        <v>70</v>
      </c>
      <c r="I5" s="28" t="s">
        <v>71</v>
      </c>
      <c r="J5" s="28" t="s">
        <v>76</v>
      </c>
      <c r="K5" s="21"/>
      <c r="L5" s="21"/>
      <c r="M5" s="21"/>
      <c r="N5" s="21"/>
      <c r="O5" s="21"/>
    </row>
    <row r="6" spans="1:18" s="1" customFormat="1">
      <c r="A6" s="13"/>
      <c r="B6" s="5"/>
      <c r="C6" s="5"/>
      <c r="D6" s="26"/>
      <c r="E6" s="26"/>
      <c r="F6" s="27"/>
      <c r="G6" s="27"/>
      <c r="H6" s="27"/>
      <c r="I6" s="27"/>
      <c r="J6" s="2"/>
      <c r="K6" s="2"/>
      <c r="L6" s="2"/>
      <c r="M6" s="2"/>
      <c r="N6" s="2"/>
      <c r="O6" s="2"/>
    </row>
    <row r="7" spans="1:18" s="1" customFormat="1">
      <c r="A7" s="8" t="s">
        <v>60</v>
      </c>
      <c r="B7" s="5"/>
      <c r="C7" s="5"/>
      <c r="D7" s="26"/>
      <c r="E7" s="26"/>
      <c r="F7" s="26"/>
      <c r="G7" s="26"/>
      <c r="H7" s="26"/>
      <c r="I7" s="29"/>
      <c r="J7" s="2"/>
      <c r="K7" s="2"/>
      <c r="L7" s="2"/>
      <c r="M7" s="2"/>
      <c r="N7" s="2"/>
      <c r="O7" s="2"/>
    </row>
    <row r="8" spans="1:18" s="1" customFormat="1">
      <c r="A8" s="6" t="s">
        <v>59</v>
      </c>
      <c r="B8" s="9" t="s">
        <v>58</v>
      </c>
      <c r="C8" s="34">
        <f>0.00638982890741501*100</f>
        <v>0.63898289074150094</v>
      </c>
      <c r="D8" s="34">
        <f>0.007231531456925*100</f>
        <v>0.7231531456925</v>
      </c>
      <c r="E8" s="34">
        <f>0.00737284695755339*100</f>
        <v>0.73728469575533895</v>
      </c>
      <c r="F8" s="34">
        <f>0.0105421547883533*100</f>
        <v>1.0542154788353302</v>
      </c>
      <c r="G8" s="18">
        <v>1.124351870436642</v>
      </c>
      <c r="H8" s="18">
        <v>1.2396822714115112</v>
      </c>
      <c r="I8" s="18">
        <v>1.0393249893582586</v>
      </c>
      <c r="J8" s="18">
        <v>1.0260126266538157</v>
      </c>
      <c r="K8" s="18"/>
      <c r="L8" s="18"/>
      <c r="M8" s="18"/>
      <c r="N8" s="18"/>
      <c r="O8" s="18"/>
      <c r="P8" s="18"/>
      <c r="Q8" s="18"/>
      <c r="R8" s="2"/>
    </row>
    <row r="9" spans="1:18" s="1" customFormat="1">
      <c r="A9" s="10" t="s">
        <v>57</v>
      </c>
      <c r="B9" s="9" t="s">
        <v>56</v>
      </c>
      <c r="C9" s="34">
        <f>0.216171873536497*100</f>
        <v>21.617187353649701</v>
      </c>
      <c r="D9" s="34">
        <f>0.229882654279428*100</f>
        <v>22.9882654279428</v>
      </c>
      <c r="E9" s="34">
        <f>0.213978503246709*100</f>
        <v>21.397850324670902</v>
      </c>
      <c r="F9" s="34">
        <f>0.138110691154007*100</f>
        <v>13.8110691154007</v>
      </c>
      <c r="G9" s="18">
        <v>9.7648960809338998</v>
      </c>
      <c r="H9" s="18">
        <v>12.310533927154582</v>
      </c>
      <c r="I9" s="18">
        <v>13.407493979166574</v>
      </c>
      <c r="J9" s="18">
        <v>12.879643774220503</v>
      </c>
      <c r="K9" s="18"/>
      <c r="L9" s="18"/>
      <c r="M9" s="18"/>
      <c r="N9" s="18"/>
      <c r="O9" s="18"/>
      <c r="P9" s="18"/>
      <c r="Q9" s="18"/>
      <c r="R9" s="2"/>
    </row>
    <row r="10" spans="1:18" s="1" customFormat="1">
      <c r="A10" s="10" t="s">
        <v>55</v>
      </c>
      <c r="B10" s="9" t="s">
        <v>54</v>
      </c>
      <c r="C10" s="34">
        <f>0.19177604629399*100</f>
        <v>19.177604629398999</v>
      </c>
      <c r="D10" s="34">
        <f>0.152541683282538*100</f>
        <v>15.254168328253801</v>
      </c>
      <c r="E10" s="34">
        <f>0.160520060754566*100</f>
        <v>16.0520060754566</v>
      </c>
      <c r="F10" s="34">
        <f>0.154058966522836*100</f>
        <v>15.405896652283598</v>
      </c>
      <c r="G10" s="18">
        <v>18.84217187032867</v>
      </c>
      <c r="H10" s="18">
        <v>18.530021130684379</v>
      </c>
      <c r="I10" s="18">
        <v>19.236357335923383</v>
      </c>
      <c r="J10" s="18">
        <v>18.555178518541517</v>
      </c>
      <c r="K10" s="18"/>
      <c r="L10" s="18"/>
      <c r="M10" s="18"/>
      <c r="N10" s="18"/>
      <c r="O10" s="18"/>
      <c r="P10" s="18"/>
      <c r="Q10" s="18"/>
      <c r="R10" s="2"/>
    </row>
    <row r="11" spans="1:18" s="1" customFormat="1">
      <c r="A11" s="10" t="s">
        <v>53</v>
      </c>
      <c r="B11" s="9" t="s">
        <v>52</v>
      </c>
      <c r="C11" s="34">
        <f>0.031579503339421*100</f>
        <v>3.1579503339421002</v>
      </c>
      <c r="D11" s="34">
        <f>0.03242683889482*100</f>
        <v>3.242683889482</v>
      </c>
      <c r="E11" s="34">
        <f>0.0336770291833482*100</f>
        <v>3.3677029183348202</v>
      </c>
      <c r="F11" s="34">
        <f>0.0484337863485029*100</f>
        <v>4.8433786348502901</v>
      </c>
      <c r="G11" s="18">
        <v>6.5209118459259159</v>
      </c>
      <c r="H11" s="18">
        <v>5.5401351411105351</v>
      </c>
      <c r="I11" s="18">
        <v>6.1609368804848206</v>
      </c>
      <c r="J11" s="18">
        <v>6.8171752012231686</v>
      </c>
      <c r="K11" s="18"/>
      <c r="L11" s="18"/>
      <c r="M11" s="18"/>
      <c r="N11" s="18"/>
      <c r="O11" s="18"/>
      <c r="P11" s="18"/>
      <c r="Q11" s="18"/>
      <c r="R11" s="2"/>
    </row>
    <row r="12" spans="1:18" s="1" customFormat="1">
      <c r="A12" s="12" t="s">
        <v>51</v>
      </c>
      <c r="B12" s="9" t="s">
        <v>50</v>
      </c>
      <c r="C12" s="34">
        <f>0.00657614849212883*100</f>
        <v>0.65761484921288305</v>
      </c>
      <c r="D12" s="34">
        <f>0.00681196328684194*100</f>
        <v>0.681196328684194</v>
      </c>
      <c r="E12" s="34">
        <f>0.00713456911060183*100</f>
        <v>0.71345691106018305</v>
      </c>
      <c r="F12" s="34">
        <f>0.00784302076461161*100</f>
        <v>0.7843020764611609</v>
      </c>
      <c r="G12" s="18">
        <v>0.82850567506142125</v>
      </c>
      <c r="H12" s="18">
        <v>0.80527693706381209</v>
      </c>
      <c r="I12" s="18">
        <v>0.73063349754365436</v>
      </c>
      <c r="J12" s="18">
        <v>0.74000848450542211</v>
      </c>
      <c r="K12" s="18"/>
      <c r="L12" s="18"/>
      <c r="M12" s="18"/>
      <c r="N12" s="18"/>
      <c r="O12" s="18"/>
      <c r="P12" s="18"/>
      <c r="Q12" s="18"/>
      <c r="R12" s="2"/>
    </row>
    <row r="13" spans="1:18" s="1" customFormat="1">
      <c r="A13" s="10" t="s">
        <v>49</v>
      </c>
      <c r="B13" s="9" t="s">
        <v>48</v>
      </c>
      <c r="C13" s="34">
        <f>0.140002046215983*100</f>
        <v>14.0002046215983</v>
      </c>
      <c r="D13" s="34">
        <f>0.0972669928267098*100</f>
        <v>9.7266992826709799</v>
      </c>
      <c r="E13" s="34">
        <f>0.10510405489508*100</f>
        <v>10.510405489507999</v>
      </c>
      <c r="F13" s="34">
        <f>0.0842534897478054*100</f>
        <v>8.4253489747805403</v>
      </c>
      <c r="G13" s="18">
        <v>9.9173101074074612</v>
      </c>
      <c r="H13" s="18">
        <v>10.274245893305309</v>
      </c>
      <c r="I13" s="18">
        <v>10.586742221863082</v>
      </c>
      <c r="J13" s="18">
        <v>9.1886947711141023</v>
      </c>
      <c r="K13" s="18"/>
      <c r="L13" s="18"/>
      <c r="M13" s="18"/>
      <c r="N13" s="18"/>
      <c r="O13" s="18"/>
      <c r="P13" s="18"/>
      <c r="Q13" s="18"/>
      <c r="R13" s="2"/>
    </row>
    <row r="14" spans="1:18" s="1" customFormat="1">
      <c r="A14" s="10" t="s">
        <v>47</v>
      </c>
      <c r="B14" s="9" t="s">
        <v>46</v>
      </c>
      <c r="C14" s="34">
        <f>0.0136183482464576*100</f>
        <v>1.3618348246457599</v>
      </c>
      <c r="D14" s="34">
        <f>0.016035888274166*100</f>
        <v>1.6035888274166001</v>
      </c>
      <c r="E14" s="34">
        <f>0.0146044075655352*100</f>
        <v>1.46044075655352</v>
      </c>
      <c r="F14" s="34">
        <f>0.0135286696619162*100</f>
        <v>1.3528669661916202</v>
      </c>
      <c r="G14" s="18">
        <v>1.575444241933873</v>
      </c>
      <c r="H14" s="18">
        <v>1.9103631592047194</v>
      </c>
      <c r="I14" s="18">
        <v>1.7580447360318257</v>
      </c>
      <c r="J14" s="18">
        <v>1.8093000616988197</v>
      </c>
      <c r="K14" s="18"/>
      <c r="L14" s="18"/>
      <c r="M14" s="18"/>
      <c r="N14" s="18"/>
      <c r="O14" s="18"/>
      <c r="P14" s="18"/>
      <c r="Q14" s="18"/>
      <c r="R14" s="2"/>
    </row>
    <row r="15" spans="1:18" s="1" customFormat="1">
      <c r="A15" s="10" t="s">
        <v>45</v>
      </c>
      <c r="B15" s="9" t="s">
        <v>44</v>
      </c>
      <c r="C15" s="34">
        <f>0.0316575906287777*100</f>
        <v>3.1657590628777701</v>
      </c>
      <c r="D15" s="34">
        <f>0.0335321481793498*100</f>
        <v>3.3532148179349797</v>
      </c>
      <c r="E15" s="34">
        <f>0.034781180122233*100</f>
        <v>3.4781180122233004</v>
      </c>
      <c r="F15" s="34">
        <f>0.0234958627552726*100</f>
        <v>2.3495862755272601</v>
      </c>
      <c r="G15" s="18">
        <v>1.0056453074886011</v>
      </c>
      <c r="H15" s="18">
        <v>1.7345639295859467</v>
      </c>
      <c r="I15" s="18">
        <v>2.1492503727214389</v>
      </c>
      <c r="J15" s="18">
        <v>2.0059108302125512</v>
      </c>
      <c r="K15" s="18"/>
      <c r="L15" s="18"/>
      <c r="M15" s="18"/>
      <c r="N15" s="18"/>
      <c r="O15" s="18"/>
      <c r="P15" s="18"/>
      <c r="Q15" s="18"/>
      <c r="R15" s="2"/>
    </row>
    <row r="16" spans="1:18" s="1" customFormat="1">
      <c r="A16" s="10" t="s">
        <v>43</v>
      </c>
      <c r="B16" s="9" t="s">
        <v>42</v>
      </c>
      <c r="C16" s="34">
        <f>0.0126263549376749*100</f>
        <v>1.26263549376749</v>
      </c>
      <c r="D16" s="34">
        <f>0.0132313509512084*100</f>
        <v>1.32313509512084</v>
      </c>
      <c r="E16" s="34">
        <f>0.0118604143790992*100</f>
        <v>1.18604143790992</v>
      </c>
      <c r="F16" s="34">
        <f>0.014428033234585*100</f>
        <v>1.4428033234585</v>
      </c>
      <c r="G16" s="18">
        <v>1.6111630114924804</v>
      </c>
      <c r="H16" s="18">
        <v>1.3613788145374344</v>
      </c>
      <c r="I16" s="18">
        <v>1.2539437192994667</v>
      </c>
      <c r="J16" s="18">
        <v>1.2352455439563164</v>
      </c>
      <c r="K16" s="18"/>
      <c r="L16" s="18"/>
      <c r="M16" s="18"/>
      <c r="N16" s="18"/>
      <c r="O16" s="18"/>
      <c r="P16" s="18"/>
      <c r="Q16" s="18"/>
      <c r="R16" s="2"/>
    </row>
    <row r="17" spans="1:18" s="1" customFormat="1">
      <c r="A17" s="10" t="s">
        <v>41</v>
      </c>
      <c r="B17" s="5" t="s">
        <v>40</v>
      </c>
      <c r="C17" s="34">
        <f>0.0529953380999244*100</f>
        <v>5.2995338099924396</v>
      </c>
      <c r="D17" s="34">
        <f>0.0532680365620977*100</f>
        <v>5.32680365620977</v>
      </c>
      <c r="E17" s="34">
        <f>0.0549395124443262*100</f>
        <v>5.49395124443262</v>
      </c>
      <c r="F17" s="34">
        <f>0.0612379194714955*100</f>
        <v>6.1237919471495497</v>
      </c>
      <c r="G17" s="18">
        <v>6.216961460060463</v>
      </c>
      <c r="H17" s="18">
        <v>5.884009986670744</v>
      </c>
      <c r="I17" s="18">
        <v>5.7273303798810566</v>
      </c>
      <c r="J17" s="18">
        <v>5.5856652438742156</v>
      </c>
      <c r="K17" s="18"/>
      <c r="L17" s="18"/>
      <c r="M17" s="18"/>
      <c r="N17" s="18"/>
      <c r="O17" s="18"/>
      <c r="P17" s="18"/>
      <c r="Q17" s="18"/>
      <c r="R17" s="2"/>
    </row>
    <row r="18" spans="1:18" s="1" customFormat="1">
      <c r="A18" s="11" t="s">
        <v>39</v>
      </c>
      <c r="B18" s="5" t="s">
        <v>38</v>
      </c>
      <c r="C18" s="34">
        <f>0.191267874150567*100</f>
        <v>19.1267874150567</v>
      </c>
      <c r="D18" s="34">
        <f>0.209358386337669*100</f>
        <v>20.935838633766902</v>
      </c>
      <c r="E18" s="34">
        <f>0.217610148342669*100</f>
        <v>21.761014834266902</v>
      </c>
      <c r="F18" s="34">
        <f>0.234792026854619*100</f>
        <v>23.4792026854619</v>
      </c>
      <c r="G18" s="18">
        <v>23.367753177369231</v>
      </c>
      <c r="H18" s="18">
        <v>21.999549733159093</v>
      </c>
      <c r="I18" s="18">
        <v>20.573921170302786</v>
      </c>
      <c r="J18" s="18">
        <v>21.147515591039813</v>
      </c>
      <c r="K18" s="18"/>
      <c r="L18" s="18"/>
      <c r="M18" s="18"/>
      <c r="N18" s="18"/>
      <c r="O18" s="18"/>
      <c r="P18" s="18"/>
      <c r="Q18" s="18"/>
      <c r="R18" s="2"/>
    </row>
    <row r="19" spans="1:18" s="1" customFormat="1">
      <c r="A19" s="11" t="s">
        <v>37</v>
      </c>
      <c r="B19" s="9" t="s">
        <v>36</v>
      </c>
      <c r="C19" s="34">
        <f>0.0331703607512403*100</f>
        <v>3.3170360751240304</v>
      </c>
      <c r="D19" s="34">
        <f>0.0315873316562608*100</f>
        <v>3.1587331656260798</v>
      </c>
      <c r="E19" s="34">
        <f>0.0286741518760012*100</f>
        <v>2.8674151876001202</v>
      </c>
      <c r="F19" s="34">
        <f>0.0330384052543049*100</f>
        <v>3.3038405254304903</v>
      </c>
      <c r="G19" s="18">
        <v>3.6092544331743581</v>
      </c>
      <c r="H19" s="18">
        <v>3.6725829166156001</v>
      </c>
      <c r="I19" s="18">
        <v>3.6634886312961732</v>
      </c>
      <c r="J19" s="18">
        <v>3.6912181704816782</v>
      </c>
      <c r="K19" s="18"/>
      <c r="L19" s="18"/>
      <c r="M19" s="18"/>
      <c r="N19" s="18"/>
      <c r="O19" s="18"/>
      <c r="P19" s="18"/>
      <c r="Q19" s="18"/>
      <c r="R19" s="2"/>
    </row>
    <row r="20" spans="1:18" s="1" customFormat="1">
      <c r="A20" s="10" t="s">
        <v>35</v>
      </c>
      <c r="B20" s="9" t="s">
        <v>34</v>
      </c>
      <c r="C20" s="34">
        <f>0.0132169624489174*100</f>
        <v>1.32169624489174</v>
      </c>
      <c r="D20" s="34">
        <f>0.0131221861102882*100</f>
        <v>1.3122186110288199</v>
      </c>
      <c r="E20" s="34">
        <f>0.0142009466208711*100</f>
        <v>1.42009466208711</v>
      </c>
      <c r="F20" s="34">
        <f>0.0157480487448967*100</f>
        <v>1.5748048744896701</v>
      </c>
      <c r="G20" s="18">
        <v>1.6642750380995825</v>
      </c>
      <c r="H20" s="18">
        <v>1.6712802112685825</v>
      </c>
      <c r="I20" s="18">
        <v>1.5822352338474792</v>
      </c>
      <c r="J20" s="18">
        <v>1.6354378030161172</v>
      </c>
      <c r="K20" s="18"/>
      <c r="L20" s="18"/>
      <c r="M20" s="18"/>
      <c r="N20" s="18"/>
      <c r="O20" s="18"/>
      <c r="P20" s="18"/>
      <c r="Q20" s="18"/>
      <c r="R20" s="2"/>
    </row>
    <row r="21" spans="1:18" s="1" customFormat="1">
      <c r="A21" s="10" t="s">
        <v>33</v>
      </c>
      <c r="B21" s="9" t="s">
        <v>32</v>
      </c>
      <c r="C21" s="34">
        <f>0.0236509378152128*100</f>
        <v>2.36509378152128</v>
      </c>
      <c r="D21" s="34">
        <f>0.0230006162361318*100</f>
        <v>2.3000616236131801</v>
      </c>
      <c r="E21" s="34">
        <f>0.0250238577307654*100</f>
        <v>2.50238577307654</v>
      </c>
      <c r="F21" s="34">
        <f>0.0254598479738974*100</f>
        <v>2.5459847973897403</v>
      </c>
      <c r="G21" s="18">
        <v>2.6260072850253042</v>
      </c>
      <c r="H21" s="18">
        <v>2.4516569320850765</v>
      </c>
      <c r="I21" s="18">
        <v>2.2662210497994275</v>
      </c>
      <c r="J21" s="18">
        <v>2.3546092528175455</v>
      </c>
      <c r="K21" s="18"/>
      <c r="L21" s="18"/>
      <c r="M21" s="18"/>
      <c r="N21" s="18"/>
      <c r="O21" s="18"/>
      <c r="P21" s="18"/>
      <c r="Q21" s="18"/>
      <c r="R21" s="2"/>
    </row>
    <row r="22" spans="1:18" s="1" customFormat="1">
      <c r="A22" s="10" t="s">
        <v>31</v>
      </c>
      <c r="B22" s="9" t="s">
        <v>30</v>
      </c>
      <c r="C22" s="34">
        <f>0.0565143275590278*100</f>
        <v>5.6514327559027802</v>
      </c>
      <c r="D22" s="34">
        <f>0.056253357271512*100</f>
        <v>5.6253357271511994</v>
      </c>
      <c r="E22" s="34">
        <f>0.056000315592421*100</f>
        <v>5.6000315592421002</v>
      </c>
      <c r="F22" s="34">
        <f>0.0631244723388513*100</f>
        <v>6.3124472338851296</v>
      </c>
      <c r="G22" s="18">
        <v>6.7295782202668448</v>
      </c>
      <c r="H22" s="18">
        <v>7.7855177862586684</v>
      </c>
      <c r="I22" s="18">
        <v>7.3943132224563195</v>
      </c>
      <c r="J22" s="18">
        <v>7.8411335046170674</v>
      </c>
      <c r="K22" s="18"/>
      <c r="L22" s="18"/>
      <c r="M22" s="18"/>
      <c r="N22" s="18"/>
      <c r="O22" s="18"/>
      <c r="P22" s="18"/>
      <c r="Q22" s="18"/>
      <c r="R22" s="2"/>
    </row>
    <row r="23" spans="1:18" s="1" customFormat="1">
      <c r="A23" s="10" t="s">
        <v>29</v>
      </c>
      <c r="B23" s="9" t="s">
        <v>28</v>
      </c>
      <c r="C23" s="34">
        <f>0.0183347520089676*100</f>
        <v>1.8334752008967601</v>
      </c>
      <c r="D23" s="34">
        <f>0.017302939984707*100</f>
        <v>1.7302939984707</v>
      </c>
      <c r="E23" s="34">
        <f>0.0172197325041171*100</f>
        <v>1.72197325041171</v>
      </c>
      <c r="F23" s="34">
        <f>0.0193766841575848*100</f>
        <v>1.93766841575848</v>
      </c>
      <c r="G23" s="18">
        <v>2.0964870686144219</v>
      </c>
      <c r="H23" s="18">
        <v>2.098930679484952</v>
      </c>
      <c r="I23" s="18">
        <v>2.0162238428929706</v>
      </c>
      <c r="J23" s="18">
        <v>2.1044924429889931</v>
      </c>
      <c r="K23" s="18"/>
      <c r="L23" s="18"/>
      <c r="M23" s="18"/>
      <c r="N23" s="18"/>
      <c r="O23" s="18"/>
      <c r="P23" s="18"/>
      <c r="Q23" s="18"/>
      <c r="R23" s="2"/>
    </row>
    <row r="24" spans="1:18" s="1" customFormat="1">
      <c r="A24" s="10" t="s">
        <v>27</v>
      </c>
      <c r="B24" s="5" t="s">
        <v>26</v>
      </c>
      <c r="C24" s="34">
        <f>0.0146396062147372*100</f>
        <v>1.46396062147372</v>
      </c>
      <c r="D24" s="34">
        <f>0.0164880367937209*100</f>
        <v>1.6488036793720899</v>
      </c>
      <c r="E24" s="34">
        <f>0.0171757073067479*100</f>
        <v>1.71757073067479</v>
      </c>
      <c r="F24" s="34">
        <f>0.0192888831606492*100</f>
        <v>1.9288883160649199</v>
      </c>
      <c r="G24" s="18">
        <v>2.0232305200975702</v>
      </c>
      <c r="H24" s="18">
        <v>2.0830272189796708</v>
      </c>
      <c r="I24" s="18">
        <v>2.2087390144710528</v>
      </c>
      <c r="J24" s="18">
        <v>2.1761115645060749</v>
      </c>
      <c r="K24" s="18"/>
      <c r="L24" s="18"/>
      <c r="M24" s="18"/>
      <c r="N24" s="18"/>
      <c r="O24" s="18"/>
      <c r="P24" s="18"/>
      <c r="Q24" s="18"/>
      <c r="R24" s="2"/>
    </row>
    <row r="25" spans="1:18" s="1" customFormat="1">
      <c r="A25" s="10" t="s">
        <v>25</v>
      </c>
      <c r="B25" s="5" t="s">
        <v>24</v>
      </c>
      <c r="C25" s="34">
        <f>0.0194974042560186*100</f>
        <v>1.9497404256018602</v>
      </c>
      <c r="D25" s="34">
        <f>0.0246928150038922*100</f>
        <v>2.4692815003892199</v>
      </c>
      <c r="E25" s="34">
        <f>0.0220252629808012*100</f>
        <v>2.2025262980801199</v>
      </c>
      <c r="F25" s="34">
        <f>0.0272951057925228*100</f>
        <v>2.7295105792522802</v>
      </c>
      <c r="G25" s="18">
        <v>3.0485177454507011</v>
      </c>
      <c r="H25" s="18">
        <v>3.0280652607910601</v>
      </c>
      <c r="I25" s="18">
        <v>2.8912587392033955</v>
      </c>
      <c r="J25" s="18">
        <v>2.9824935265394226</v>
      </c>
      <c r="K25" s="18"/>
      <c r="L25" s="18"/>
      <c r="M25" s="18"/>
      <c r="N25" s="18"/>
      <c r="O25" s="18"/>
      <c r="P25" s="18"/>
      <c r="Q25" s="18"/>
      <c r="R25" s="2"/>
    </row>
    <row r="26" spans="1:18" s="1" customFormat="1">
      <c r="A26" s="10" t="s">
        <v>23</v>
      </c>
      <c r="B26" s="5" t="s">
        <v>22</v>
      </c>
      <c r="C26" s="34">
        <f>0.0649478645850394*100</f>
        <v>6.4947864585039401</v>
      </c>
      <c r="D26" s="34">
        <f>0.0665451760454936*100</f>
        <v>6.654517604549361</v>
      </c>
      <c r="E26" s="34">
        <f>0.0712388403950012*100</f>
        <v>7.1238840395001199</v>
      </c>
      <c r="F26" s="34">
        <f>0.0893850235848393*100</f>
        <v>8.9385023584839303</v>
      </c>
      <c r="G26" s="18">
        <v>9.5960053463628707</v>
      </c>
      <c r="H26" s="18">
        <v>9.4049974046428542</v>
      </c>
      <c r="I26" s="18">
        <v>8.791087138889079</v>
      </c>
      <c r="J26" s="18">
        <v>9.382491565818512</v>
      </c>
      <c r="K26" s="18"/>
      <c r="L26" s="18"/>
      <c r="M26" s="18"/>
      <c r="N26" s="18"/>
      <c r="O26" s="18"/>
      <c r="P26" s="18"/>
      <c r="Q26" s="18"/>
      <c r="R26" s="2"/>
    </row>
    <row r="27" spans="1:18" s="1" customFormat="1">
      <c r="A27" s="10" t="s">
        <v>21</v>
      </c>
      <c r="B27" s="9" t="s">
        <v>20</v>
      </c>
      <c r="C27" s="34">
        <f>0.0221104567561003*100</f>
        <v>2.2110456756100301</v>
      </c>
      <c r="D27" s="34">
        <f>0.021431417448642*100</f>
        <v>2.1431417448642001</v>
      </c>
      <c r="E27" s="34">
        <f>0.0208560231186545*100</f>
        <v>2.0856023118654501</v>
      </c>
      <c r="F27" s="34">
        <f>0.0314021325582936*100</f>
        <v>3.1402132558293596</v>
      </c>
      <c r="G27" s="18">
        <v>2.7459781110821138</v>
      </c>
      <c r="H27" s="18">
        <v>2.5194443657434116</v>
      </c>
      <c r="I27" s="18">
        <v>2.3818208572943336</v>
      </c>
      <c r="J27" s="18">
        <v>2.4528363241118445</v>
      </c>
      <c r="K27" s="18"/>
      <c r="L27" s="18"/>
      <c r="M27" s="18"/>
      <c r="N27" s="18"/>
      <c r="O27" s="18"/>
      <c r="P27" s="18"/>
      <c r="Q27" s="18"/>
      <c r="R27" s="2"/>
    </row>
    <row r="28" spans="1:18" s="1" customFormat="1">
      <c r="A28" s="10" t="s">
        <v>19</v>
      </c>
      <c r="B28" s="9" t="s">
        <v>18</v>
      </c>
      <c r="C28" s="34">
        <f>0.00362538031592647*100</f>
        <v>0.36253803159264697</v>
      </c>
      <c r="D28" s="34">
        <f>0.00368703601399097*100</f>
        <v>0.36870360139909703</v>
      </c>
      <c r="E28" s="34">
        <f>0.00392900343145471*100</f>
        <v>0.39290034314547101</v>
      </c>
      <c r="F28" s="34">
        <f>0.00488371564577205*100</f>
        <v>0.48837156457720499</v>
      </c>
      <c r="G28" s="18">
        <v>0.4966013756390415</v>
      </c>
      <c r="H28" s="18">
        <v>0.51418224164267934</v>
      </c>
      <c r="I28" s="18">
        <v>0.48475249953885818</v>
      </c>
      <c r="J28" s="18">
        <v>0.56852591279569142</v>
      </c>
      <c r="K28" s="18"/>
      <c r="L28" s="18"/>
      <c r="M28" s="18"/>
      <c r="N28" s="18"/>
      <c r="O28" s="18"/>
      <c r="P28" s="18"/>
      <c r="Q28" s="18"/>
      <c r="R28" s="2"/>
    </row>
    <row r="29" spans="1:18" s="1" customFormat="1">
      <c r="A29" s="10" t="s">
        <v>17</v>
      </c>
      <c r="B29" s="9" t="s">
        <v>16</v>
      </c>
      <c r="C29" s="34">
        <f>0.00232645258343976*100</f>
        <v>0.23264525834397601</v>
      </c>
      <c r="D29" s="34">
        <f>0.00266133737819602*100</f>
        <v>0.26613373781960198</v>
      </c>
      <c r="E29" s="34">
        <f>0.00279332961936924*100</f>
        <v>0.27933296193692403</v>
      </c>
      <c r="F29" s="34">
        <f>0.0031206966705918*100</f>
        <v>0.31206966705917999</v>
      </c>
      <c r="G29" s="18">
        <v>0.29164678213712975</v>
      </c>
      <c r="H29" s="18">
        <v>0.27706498845929162</v>
      </c>
      <c r="I29" s="18">
        <v>0.26518585043747189</v>
      </c>
      <c r="J29" s="18">
        <v>0.27258927639540681</v>
      </c>
      <c r="K29" s="18"/>
      <c r="L29" s="18"/>
      <c r="M29" s="18"/>
      <c r="N29" s="18"/>
      <c r="O29" s="18"/>
      <c r="P29" s="18"/>
      <c r="Q29" s="18"/>
      <c r="R29" s="2"/>
    </row>
    <row r="30" spans="1:18" s="1" customFormat="1">
      <c r="A30" s="10" t="s">
        <v>15</v>
      </c>
      <c r="B30" s="9" t="s">
        <v>14</v>
      </c>
      <c r="C30" s="34">
        <f>0.00366156379151839*100</f>
        <v>0.36615637915183902</v>
      </c>
      <c r="D30" s="34">
        <f>0.00406053893645236*100</f>
        <v>0.40605389364523597</v>
      </c>
      <c r="E30" s="34">
        <f>0.00420855616851631*100</f>
        <v>0.42085561685163098</v>
      </c>
      <c r="F30" s="34">
        <f>0.00512163232667383*100</f>
        <v>0.51216323266738295</v>
      </c>
      <c r="G30" s="18">
        <v>0.55443665335779946</v>
      </c>
      <c r="H30" s="18">
        <v>0.5508905005324104</v>
      </c>
      <c r="I30" s="18">
        <v>0.52830338670574428</v>
      </c>
      <c r="J30" s="18">
        <v>0.55198644722836065</v>
      </c>
      <c r="K30" s="18"/>
      <c r="L30" s="18"/>
      <c r="M30" s="18"/>
      <c r="N30" s="18"/>
      <c r="O30" s="18"/>
      <c r="P30" s="18"/>
      <c r="Q30" s="18"/>
      <c r="R30" s="2"/>
    </row>
    <row r="31" spans="1:18" s="1" customFormat="1">
      <c r="A31" s="10" t="s">
        <v>13</v>
      </c>
      <c r="B31" s="9" t="s">
        <v>12</v>
      </c>
      <c r="C31" s="34">
        <f>0.000967333687823423*100</f>
        <v>9.6733368782342302E-2</v>
      </c>
      <c r="D31" s="34">
        <f>0.00128464870772712*100</f>
        <v>0.12846487077271199</v>
      </c>
      <c r="E31" s="34">
        <f>0.00135498426796109*100</f>
        <v>0.13549842679610899</v>
      </c>
      <c r="F31" s="34">
        <f>0.0017165979018649*100</f>
        <v>0.17165979018649</v>
      </c>
      <c r="G31" s="18">
        <v>0.19034325992184348</v>
      </c>
      <c r="H31" s="18">
        <v>0.18936156865036474</v>
      </c>
      <c r="I31" s="18">
        <v>0.18128770628632038</v>
      </c>
      <c r="J31" s="18">
        <v>0.18771663274099529</v>
      </c>
      <c r="K31" s="18"/>
      <c r="L31" s="18"/>
      <c r="M31" s="18"/>
      <c r="N31" s="18"/>
      <c r="O31" s="18"/>
      <c r="P31" s="18"/>
      <c r="Q31" s="18"/>
      <c r="R31" s="2"/>
    </row>
    <row r="32" spans="1:18" s="1" customFormat="1">
      <c r="A32" s="7" t="s">
        <v>68</v>
      </c>
      <c r="B32" s="5"/>
      <c r="C32" s="34">
        <f>-0.0189844007957638*100</f>
        <v>-1.8984400795763801</v>
      </c>
      <c r="D32" s="34">
        <f>-0.0191300124483897*100</f>
        <v>-1.9130012448389699</v>
      </c>
      <c r="E32" s="34">
        <f>-0.0189803775096377*100</f>
        <v>-1.89803775096377</v>
      </c>
      <c r="F32" s="34">
        <f>-0.0210051497405036*100</f>
        <v>-2.1005149740503599</v>
      </c>
      <c r="G32" s="18">
        <v>-2.2971886088218914</v>
      </c>
      <c r="H32" s="18">
        <v>-2.634563066647146</v>
      </c>
      <c r="I32" s="18">
        <v>-2.5611415935507851</v>
      </c>
      <c r="J32" s="18">
        <v>-2.7867492660950437</v>
      </c>
      <c r="K32" s="18"/>
      <c r="L32" s="18"/>
      <c r="M32" s="18"/>
      <c r="N32" s="18"/>
      <c r="O32" s="18"/>
      <c r="P32" s="18"/>
      <c r="Q32" s="18"/>
      <c r="R32" s="2"/>
    </row>
    <row r="33" spans="1:18" s="22" customFormat="1">
      <c r="A33" s="37" t="s">
        <v>11</v>
      </c>
      <c r="B33" s="38"/>
      <c r="C33" s="35">
        <f>0.960563908533052*100</f>
        <v>96.056390853305203</v>
      </c>
      <c r="D33" s="35">
        <f>0.962033216187841*100</f>
        <v>96.203321618784102</v>
      </c>
      <c r="E33" s="35">
        <f>0.9667830003502*100</f>
        <v>96.678300035020001</v>
      </c>
      <c r="F33" s="35">
        <f>0.954621751151407*100</f>
        <v>95.462175115140695</v>
      </c>
      <c r="G33" s="36">
        <v>95.308116008517686</v>
      </c>
      <c r="H33" s="36">
        <v>96.672178801711155</v>
      </c>
      <c r="I33" s="36">
        <v>95.481397526220817</v>
      </c>
      <c r="J33" s="36">
        <v>95.850065286461401</v>
      </c>
      <c r="K33" s="36"/>
      <c r="L33" s="36"/>
      <c r="M33" s="36"/>
      <c r="N33" s="36"/>
      <c r="O33" s="36"/>
      <c r="P33" s="36"/>
      <c r="Q33" s="36"/>
      <c r="R33" s="21"/>
    </row>
    <row r="34" spans="1:18" s="1" customFormat="1">
      <c r="A34" s="7" t="s">
        <v>10</v>
      </c>
      <c r="B34" s="5"/>
      <c r="C34" s="34">
        <f>0.0394360914669483*100</f>
        <v>3.94360914669483</v>
      </c>
      <c r="D34" s="34">
        <f>0.0379667838121591*100</f>
        <v>3.7966783812159099</v>
      </c>
      <c r="E34" s="34">
        <f>0.0332169996498001*100</f>
        <v>3.3216999649800099</v>
      </c>
      <c r="F34" s="34">
        <f>0.0453782488485929*100</f>
        <v>4.5378248848592904</v>
      </c>
      <c r="G34" s="18">
        <v>4.69188399148232</v>
      </c>
      <c r="H34" s="18">
        <v>3.3278211982888468</v>
      </c>
      <c r="I34" s="18">
        <v>4.5186024737791906</v>
      </c>
      <c r="J34" s="18">
        <v>4.1499347135385918</v>
      </c>
      <c r="K34" s="18"/>
      <c r="L34" s="18"/>
      <c r="M34" s="18"/>
      <c r="N34" s="18"/>
      <c r="O34" s="18"/>
      <c r="P34" s="18"/>
      <c r="Q34" s="18"/>
      <c r="R34" s="2"/>
    </row>
    <row r="35" spans="1:18" s="1" customFormat="1">
      <c r="A35" s="8" t="s">
        <v>9</v>
      </c>
      <c r="B35" s="5"/>
      <c r="C35" s="35">
        <f>1*100</f>
        <v>100</v>
      </c>
      <c r="D35" s="35">
        <f>1*100</f>
        <v>100</v>
      </c>
      <c r="E35" s="35">
        <f>1*100</f>
        <v>100</v>
      </c>
      <c r="F35" s="35">
        <f>1*100</f>
        <v>100</v>
      </c>
      <c r="G35" s="36">
        <v>100</v>
      </c>
      <c r="H35" s="36">
        <v>100</v>
      </c>
      <c r="I35" s="36">
        <v>100</v>
      </c>
      <c r="J35" s="36">
        <v>100</v>
      </c>
      <c r="K35" s="18"/>
      <c r="L35" s="18"/>
      <c r="M35" s="18"/>
      <c r="N35" s="18"/>
      <c r="O35" s="18"/>
      <c r="P35" s="18"/>
      <c r="Q35" s="18"/>
      <c r="R35" s="2"/>
    </row>
    <row r="36" spans="1:18" s="1" customFormat="1">
      <c r="A36" s="7" t="s">
        <v>8</v>
      </c>
      <c r="B36" s="5"/>
      <c r="C36" s="33"/>
      <c r="D36" s="33"/>
      <c r="E36" s="33"/>
      <c r="F36" s="33"/>
      <c r="G36" s="18">
        <v>0</v>
      </c>
      <c r="H36" s="18">
        <v>0</v>
      </c>
      <c r="I36" s="18">
        <v>0</v>
      </c>
      <c r="J36" s="18">
        <v>0</v>
      </c>
      <c r="K36" s="18"/>
      <c r="L36" s="18"/>
      <c r="M36" s="18"/>
      <c r="N36" s="18"/>
      <c r="O36" s="18"/>
      <c r="P36" s="18"/>
      <c r="Q36" s="18"/>
      <c r="R36" s="2"/>
    </row>
    <row r="37" spans="1:18" s="1" customFormat="1">
      <c r="A37" s="6" t="s">
        <v>7</v>
      </c>
      <c r="B37" s="5"/>
      <c r="C37" s="34">
        <f>0.0767432354880121*100</f>
        <v>7.67432354880121</v>
      </c>
      <c r="D37" s="34">
        <f>0.0726172458498531*100</f>
        <v>7.26172458498531</v>
      </c>
      <c r="E37" s="34">
        <f>0.0572344331364833*100</f>
        <v>5.72344331364833</v>
      </c>
      <c r="F37" s="34">
        <f>0.0342863262471144*100</f>
        <v>3.4286326247114398</v>
      </c>
      <c r="G37" s="18">
        <v>2.9360464175326615</v>
      </c>
      <c r="H37" s="18">
        <v>3.6580762432051057</v>
      </c>
      <c r="I37" s="18">
        <v>3.9891805796702586</v>
      </c>
      <c r="J37" s="18">
        <v>3.7411295547895183</v>
      </c>
      <c r="K37" s="18"/>
      <c r="L37" s="18"/>
      <c r="M37" s="18"/>
      <c r="N37" s="18"/>
      <c r="O37" s="18"/>
      <c r="P37" s="18"/>
      <c r="Q37" s="18"/>
      <c r="R37" s="2"/>
    </row>
    <row r="38" spans="1:18" s="1" customFormat="1">
      <c r="A38" s="6" t="s">
        <v>6</v>
      </c>
      <c r="B38" s="5"/>
      <c r="C38" s="34">
        <f>0.0267622281302476*100</f>
        <v>2.6762228130247601</v>
      </c>
      <c r="D38" s="34">
        <f>0.0315671974287103*100</f>
        <v>3.1567197428710303</v>
      </c>
      <c r="E38" s="34">
        <f>0.0250998684676224*100</f>
        <v>2.5099868467622399</v>
      </c>
      <c r="F38" s="34">
        <f>0.0133838146968394*100</f>
        <v>1.33838146968394</v>
      </c>
      <c r="G38" s="18">
        <v>1.0959715539162316</v>
      </c>
      <c r="H38" s="18">
        <v>1.5119673489940526</v>
      </c>
      <c r="I38" s="18">
        <v>1.2576439825180454</v>
      </c>
      <c r="J38" s="18">
        <v>1.2584453250148044</v>
      </c>
      <c r="K38" s="18"/>
      <c r="L38" s="18"/>
      <c r="M38" s="18"/>
      <c r="N38" s="18"/>
      <c r="O38" s="18"/>
      <c r="P38" s="18"/>
      <c r="Q38" s="18"/>
      <c r="R38" s="2"/>
    </row>
    <row r="39" spans="1:18" s="1" customFormat="1">
      <c r="A39" s="6" t="s">
        <v>5</v>
      </c>
      <c r="B39" s="5"/>
      <c r="C39" s="34">
        <f>0.0966136420565098*100</f>
        <v>9.6613642056509796</v>
      </c>
      <c r="D39" s="34">
        <f>0.106196905028658*100</f>
        <v>10.619690502865801</v>
      </c>
      <c r="E39" s="34">
        <f>0.114615155751144*100</f>
        <v>11.461515575114401</v>
      </c>
      <c r="F39" s="34">
        <f>0.0712739387454131*100</f>
        <v>7.1273938745413101</v>
      </c>
      <c r="G39" s="18">
        <v>4.3314003746598173</v>
      </c>
      <c r="H39" s="18">
        <v>5.9632916308146564</v>
      </c>
      <c r="I39" s="18">
        <v>7.1044722854247659</v>
      </c>
      <c r="J39" s="18">
        <v>6.9250739096540936</v>
      </c>
      <c r="K39" s="18"/>
      <c r="L39" s="18"/>
      <c r="M39" s="18"/>
      <c r="N39" s="18"/>
      <c r="O39" s="18"/>
      <c r="P39" s="18"/>
      <c r="Q39" s="18"/>
      <c r="R39" s="2"/>
    </row>
    <row r="40" spans="1:18" s="1" customFormat="1">
      <c r="A40" s="6" t="s">
        <v>4</v>
      </c>
      <c r="B40" s="5"/>
      <c r="C40" s="34">
        <f>0.00135744478844906*100</f>
        <v>0.13574447884490598</v>
      </c>
      <c r="D40" s="34">
        <f>0.00111934992578383*100</f>
        <v>0.11193499257838299</v>
      </c>
      <c r="E40" s="34">
        <f>0.00113703741307176*100</f>
        <v>0.113703741307176</v>
      </c>
      <c r="F40" s="34">
        <f>0.000786917947644887*100</f>
        <v>7.8691794764488704E-2</v>
      </c>
      <c r="G40" s="18">
        <v>7.4668842540432559E-2</v>
      </c>
      <c r="H40" s="18">
        <v>8.3572604359562153E-2</v>
      </c>
      <c r="I40" s="18">
        <v>5.4057256288225219E-2</v>
      </c>
      <c r="J40" s="18">
        <v>3.7783063949093747E-2</v>
      </c>
      <c r="K40" s="18"/>
      <c r="L40" s="18"/>
      <c r="M40" s="18"/>
      <c r="N40" s="18"/>
      <c r="O40" s="18"/>
      <c r="P40" s="18"/>
      <c r="Q40" s="18"/>
      <c r="R40" s="2"/>
    </row>
    <row r="41" spans="1:18" s="1" customFormat="1">
      <c r="A41" s="6" t="s">
        <v>3</v>
      </c>
      <c r="B41" s="5"/>
      <c r="C41" s="34">
        <f>0.0146423279188114*100</f>
        <v>1.46423279188114</v>
      </c>
      <c r="D41" s="34">
        <f>0.018321264709046*100</f>
        <v>1.8321264709045999</v>
      </c>
      <c r="E41" s="34">
        <f>0.0158267361416384*100</f>
        <v>1.58267361416384</v>
      </c>
      <c r="F41" s="34">
        <f>0.0183049427870679*100</f>
        <v>1.8304942787067902</v>
      </c>
      <c r="G41" s="18">
        <v>1.3202208744239319</v>
      </c>
      <c r="H41" s="18">
        <v>1.0883527974024372</v>
      </c>
      <c r="I41" s="18">
        <v>0.99660449295672937</v>
      </c>
      <c r="J41" s="18">
        <v>0.91122205959812097</v>
      </c>
      <c r="K41" s="18"/>
      <c r="L41" s="18"/>
      <c r="M41" s="18"/>
      <c r="N41" s="18"/>
      <c r="O41" s="18"/>
      <c r="P41" s="18"/>
      <c r="Q41" s="18"/>
      <c r="R41" s="2"/>
    </row>
    <row r="42" spans="1:18" s="1" customFormat="1">
      <c r="A42" s="6" t="s">
        <v>2</v>
      </c>
      <c r="B42" s="5"/>
      <c r="C42" s="34">
        <f>0.0633897148417317*100</f>
        <v>6.3389714841731699</v>
      </c>
      <c r="D42" s="34">
        <f>0.0436143405761197*100</f>
        <v>4.3614340576119703</v>
      </c>
      <c r="E42" s="34">
        <f>0.0494145121889863*100</f>
        <v>4.9414512188986297</v>
      </c>
      <c r="F42" s="34">
        <f>0.0289086077855622*100</f>
        <v>2.8908607785562204</v>
      </c>
      <c r="G42" s="18">
        <v>5.7087982376814734</v>
      </c>
      <c r="H42" s="18">
        <v>4.9586725498000268</v>
      </c>
      <c r="I42" s="18">
        <v>4.7523103394251889</v>
      </c>
      <c r="J42" s="18">
        <v>3.8615222114897194</v>
      </c>
      <c r="K42" s="18"/>
      <c r="L42" s="18"/>
      <c r="M42" s="18"/>
      <c r="N42" s="18"/>
      <c r="O42" s="18"/>
      <c r="P42" s="18"/>
      <c r="Q42" s="18"/>
      <c r="R42" s="2"/>
    </row>
    <row r="43" spans="1:18" s="1" customFormat="1">
      <c r="A43" s="6" t="s">
        <v>1</v>
      </c>
      <c r="B43" s="5"/>
      <c r="C43" s="34">
        <f>0.0716416013853673*100</f>
        <v>7.1641601385367304</v>
      </c>
      <c r="D43" s="34">
        <f>0.0486910839870518*100</f>
        <v>4.8691083987051798</v>
      </c>
      <c r="E43" s="34">
        <f>0.0509975088689562*100</f>
        <v>5.0997508868956203</v>
      </c>
      <c r="F43" s="34">
        <v>4.9587657323145316E-2</v>
      </c>
      <c r="G43" s="18">
        <v>3.5351984753145702</v>
      </c>
      <c r="H43" s="18">
        <v>4.5869244163485128</v>
      </c>
      <c r="I43" s="18">
        <v>5.1122869033619471</v>
      </c>
      <c r="J43" s="18">
        <v>4.4411367747709445</v>
      </c>
      <c r="K43" s="18"/>
      <c r="L43" s="18"/>
      <c r="M43" s="18"/>
      <c r="N43" s="18"/>
      <c r="O43" s="18"/>
      <c r="P43" s="18"/>
      <c r="Q43" s="18"/>
      <c r="R43" s="2"/>
    </row>
    <row r="44" spans="1:18" s="1" customFormat="1">
      <c r="A44" s="6" t="s">
        <v>0</v>
      </c>
      <c r="B44" s="5"/>
      <c r="C44" s="34">
        <f>0.0313278900040143*100</f>
        <v>3.1327890004014298</v>
      </c>
      <c r="D44" s="34">
        <f>0.0375184761033691*100</f>
        <v>3.7518476103369101</v>
      </c>
      <c r="E44" s="34">
        <f>0.0376774841513506*100</f>
        <v>3.7677484151350602</v>
      </c>
      <c r="F44" s="34">
        <v>2.3890788041820394E-2</v>
      </c>
      <c r="G44" s="18">
        <v>0.66425979451795081</v>
      </c>
      <c r="H44" s="18">
        <v>1.7940331732608301</v>
      </c>
      <c r="I44" s="18">
        <v>2.1925690598037768</v>
      </c>
      <c r="J44" s="18">
        <v>1.9300142331189547</v>
      </c>
      <c r="K44" s="18"/>
      <c r="L44" s="18"/>
      <c r="M44" s="18"/>
      <c r="N44" s="18"/>
      <c r="O44" s="18"/>
      <c r="P44" s="18"/>
      <c r="Q44" s="18"/>
      <c r="R44" s="2"/>
    </row>
    <row r="45" spans="1:18" s="1" customFormat="1" ht="15.75" thickBot="1">
      <c r="A45" s="4"/>
      <c r="B45" s="3"/>
      <c r="C45" s="3"/>
      <c r="D45" s="30"/>
      <c r="E45" s="30"/>
      <c r="F45" s="30"/>
      <c r="G45" s="30"/>
      <c r="H45" s="30"/>
      <c r="I45" s="30"/>
      <c r="J45" s="30"/>
    </row>
    <row r="46" spans="1:18" ht="15.75" thickTop="1"/>
    <row r="47" spans="1:18">
      <c r="A47" s="32" t="s">
        <v>69</v>
      </c>
      <c r="B47" s="23"/>
      <c r="C47" s="23"/>
      <c r="D47" s="31"/>
      <c r="E47" s="31"/>
      <c r="F47" s="31"/>
      <c r="G47" s="31"/>
      <c r="H47" s="31"/>
      <c r="I47" s="31"/>
      <c r="J47" s="23"/>
    </row>
    <row r="48" spans="1:18">
      <c r="A48" s="23"/>
      <c r="B48" s="23"/>
      <c r="C48" s="23"/>
      <c r="D48" s="31"/>
      <c r="E48" s="31"/>
      <c r="F48" s="31"/>
      <c r="G48" s="31"/>
      <c r="H48" s="31"/>
      <c r="I48" s="31"/>
      <c r="J48" s="23"/>
    </row>
    <row r="49" spans="1:10" s="17" customFormat="1" ht="14.25">
      <c r="A49" s="24" t="s">
        <v>73</v>
      </c>
      <c r="B49" s="24"/>
      <c r="C49" s="24"/>
      <c r="D49" s="31"/>
      <c r="E49" s="31"/>
      <c r="F49" s="31"/>
      <c r="G49" s="31"/>
      <c r="H49" s="31"/>
      <c r="I49" s="31"/>
      <c r="J49" s="24"/>
    </row>
    <row r="50" spans="1:10" s="17" customFormat="1" ht="12.75">
      <c r="A50" s="24" t="s">
        <v>65</v>
      </c>
      <c r="B50" s="24"/>
      <c r="C50" s="24"/>
      <c r="D50" s="31"/>
      <c r="E50" s="31"/>
      <c r="F50" s="31"/>
      <c r="G50" s="31"/>
      <c r="H50" s="31"/>
      <c r="I50" s="31"/>
      <c r="J50" s="24"/>
    </row>
    <row r="51" spans="1:10" s="17" customFormat="1" ht="14.25">
      <c r="A51" s="24" t="s">
        <v>74</v>
      </c>
      <c r="B51" s="24"/>
      <c r="C51" s="24"/>
      <c r="D51" s="31"/>
      <c r="E51" s="31"/>
      <c r="F51" s="31"/>
      <c r="G51" s="31"/>
      <c r="H51" s="31"/>
      <c r="I51" s="31"/>
      <c r="J51" s="24"/>
    </row>
    <row r="52" spans="1:10" s="17" customFormat="1" ht="12.75">
      <c r="A52" s="24"/>
      <c r="B52" s="24"/>
      <c r="C52" s="24"/>
      <c r="D52" s="31"/>
      <c r="E52" s="31"/>
      <c r="F52" s="31"/>
      <c r="G52" s="31"/>
      <c r="H52" s="31"/>
      <c r="I52" s="31"/>
      <c r="J52" s="24"/>
    </row>
    <row r="53" spans="1:10">
      <c r="A53" s="23"/>
      <c r="B53" s="23"/>
      <c r="C53" s="23"/>
      <c r="D53" s="31"/>
      <c r="E53" s="31"/>
      <c r="F53" s="31"/>
      <c r="G53" s="31"/>
      <c r="H53" s="31"/>
      <c r="I53" s="31"/>
      <c r="J53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 Current Prices (% Contrib)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Ramlochan</dc:creator>
  <cp:lastModifiedBy>Jeffrey Charles</cp:lastModifiedBy>
  <dcterms:created xsi:type="dcterms:W3CDTF">2019-10-17T17:45:02Z</dcterms:created>
  <dcterms:modified xsi:type="dcterms:W3CDTF">2020-10-15T13:54:47Z</dcterms:modified>
</cp:coreProperties>
</file>