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A Trinidad &amp; Tobago, Tables for Website, October 2020\"/>
    </mc:Choice>
  </mc:AlternateContent>
  <bookViews>
    <workbookView xWindow="0" yWindow="0" windowWidth="21600" windowHeight="9735"/>
  </bookViews>
  <sheets>
    <sheet name="GDP Current Prices (% Chang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44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44" i="1"/>
  <c r="C43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D8" i="1"/>
  <c r="C8" i="1"/>
</calcChain>
</file>

<file path=xl/sharedStrings.xml><?xml version="1.0" encoding="utf-8"?>
<sst xmlns="http://schemas.openxmlformats.org/spreadsheetml/2006/main" count="78" uniqueCount="78">
  <si>
    <t xml:space="preserve">  Petroleum and natural gas distribution</t>
  </si>
  <si>
    <t xml:space="preserve">  Manufacture of Petrochemicals</t>
  </si>
  <si>
    <t xml:space="preserve">  Refining (incl. LNG)</t>
  </si>
  <si>
    <t xml:space="preserve">  Petroleum support services</t>
  </si>
  <si>
    <t xml:space="preserve">  Asphalt </t>
  </si>
  <si>
    <t xml:space="preserve">  Natural gas exploration and extraction</t>
  </si>
  <si>
    <t xml:space="preserve">  Condensate extraction</t>
  </si>
  <si>
    <t xml:space="preserve">  Crude oil exploration and extraction</t>
  </si>
  <si>
    <t>Of which</t>
  </si>
  <si>
    <t>GDP at purchaser prices</t>
  </si>
  <si>
    <t>Taxes less subsidies on products</t>
  </si>
  <si>
    <t>GDP at basic prices</t>
  </si>
  <si>
    <t>T</t>
  </si>
  <si>
    <t>Domestic services</t>
  </si>
  <si>
    <t>S</t>
  </si>
  <si>
    <t>Other service activities</t>
  </si>
  <si>
    <t>R</t>
  </si>
  <si>
    <t>Arts, entertainment and recreation</t>
  </si>
  <si>
    <t>Q</t>
  </si>
  <si>
    <t>Human health and social work</t>
  </si>
  <si>
    <t>P</t>
  </si>
  <si>
    <t>Education</t>
  </si>
  <si>
    <t>O</t>
  </si>
  <si>
    <t>Public administration</t>
  </si>
  <si>
    <t>N</t>
  </si>
  <si>
    <t>Administrative and support services</t>
  </si>
  <si>
    <t>M</t>
  </si>
  <si>
    <t>Professional, scientific and technical</t>
  </si>
  <si>
    <t>L</t>
  </si>
  <si>
    <t>Real estate activities</t>
  </si>
  <si>
    <t>K</t>
  </si>
  <si>
    <t>Financial and insurance activities</t>
  </si>
  <si>
    <t>J</t>
  </si>
  <si>
    <t>Information and communication</t>
  </si>
  <si>
    <t>I</t>
  </si>
  <si>
    <t>Accommodation and food services</t>
  </si>
  <si>
    <t>H</t>
  </si>
  <si>
    <t>Transport and storage</t>
  </si>
  <si>
    <t>G</t>
  </si>
  <si>
    <t>Trade and repairs</t>
  </si>
  <si>
    <t>F</t>
  </si>
  <si>
    <t>Construction</t>
  </si>
  <si>
    <t>E</t>
  </si>
  <si>
    <t>Water supply and sewerage</t>
  </si>
  <si>
    <t>D</t>
  </si>
  <si>
    <t>Electricity and gas</t>
  </si>
  <si>
    <t>CF-M</t>
  </si>
  <si>
    <t xml:space="preserve">  Other manufactured products</t>
  </si>
  <si>
    <t>CD-E</t>
  </si>
  <si>
    <t xml:space="preserve">  Petroleum and chemical products</t>
  </si>
  <si>
    <t>CB-C</t>
  </si>
  <si>
    <t xml:space="preserve">  Textiles, clothing, leather, wood, paper and printing</t>
  </si>
  <si>
    <t>CA</t>
  </si>
  <si>
    <t xml:space="preserve">  Food, beverages and tobacco products</t>
  </si>
  <si>
    <t>C</t>
  </si>
  <si>
    <t>Manufacturing</t>
  </si>
  <si>
    <t>B</t>
  </si>
  <si>
    <t>Mining and quarrying</t>
  </si>
  <si>
    <t>A</t>
  </si>
  <si>
    <t>Agriculture, forestry and fishing</t>
  </si>
  <si>
    <t>GDP at market prices</t>
  </si>
  <si>
    <t>2016</t>
  </si>
  <si>
    <t>2015</t>
  </si>
  <si>
    <t>2014</t>
  </si>
  <si>
    <t>2013</t>
  </si>
  <si>
    <t>industry/sub-industry.</t>
  </si>
  <si>
    <t xml:space="preserve">Trinidad and Tobago System of National Accounts </t>
  </si>
  <si>
    <t xml:space="preserve">Item </t>
  </si>
  <si>
    <r>
      <t>Less FISIM</t>
    </r>
    <r>
      <rPr>
        <i/>
        <vertAlign val="superscript"/>
        <sz val="10"/>
        <rFont val="Arial"/>
        <family val="2"/>
      </rPr>
      <t>2</t>
    </r>
  </si>
  <si>
    <t>Source: Central Statistical Office</t>
  </si>
  <si>
    <t>Current Prices (% change)</t>
  </si>
  <si>
    <t>2017</t>
  </si>
  <si>
    <t>2018</t>
  </si>
  <si>
    <r>
      <t>ISIC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</si>
  <si>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1/ </t>
    </r>
    <r>
      <rPr>
        <sz val="9"/>
        <color theme="1"/>
        <rFont val="Calibri"/>
        <family val="2"/>
        <scheme val="minor"/>
      </rPr>
      <t>Designation of the section in the International Standard Industrial Classification of All Economic Activities, Revision 4 (ISIC. Rev 4) that corresponds to the</t>
    </r>
  </si>
  <si>
    <r>
      <rPr>
        <vertAlign val="superscript"/>
        <sz val="9"/>
        <color theme="1"/>
        <rFont val="Calibri"/>
        <family val="2"/>
        <scheme val="minor"/>
      </rPr>
      <t>2/</t>
    </r>
    <r>
      <rPr>
        <sz val="9"/>
        <color theme="1"/>
        <rFont val="Calibri"/>
        <family val="2"/>
        <scheme val="minor"/>
      </rPr>
      <t xml:space="preserve"> Financial Intermediation Services Indirectly Measured. FISIM has not been allocated to intermediate consumption by economic activity.   </t>
    </r>
  </si>
  <si>
    <t xml:space="preserve">Gross Domestic Product (GDP) by Economic Activity 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</si>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</sst>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#,##0_ ;[Red]\-#,##0\ "/>
    <numFmt numFmtId="167" formatCode="_-* #,##0_-;\-* #,##0_-;_-* &quot;-&quot;??_-;_-@_-"/>
    <numFmt numFmtId="168" formatCode="#,##0.0_)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9"/>
      <color theme="1"/>
      <name val="Calibri"/>
      <family val="2"/>
      <scheme val="minor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166" fontId="0" fillId="0" borderId="0" xfId="0" applyNumberFormat="1" applyFill="1"/>
    <xf numFmtId="167" fontId="0" fillId="0" borderId="0" xfId="1" applyNumberFormat="1" applyFont="1" applyFill="1"/>
    <xf numFmtId="164" fontId="0" fillId="0" borderId="1" xfId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 indent="1"/>
    </xf>
    <xf numFmtId="164" fontId="0" fillId="0" borderId="0" xfId="1" applyFont="1" applyFill="1" applyBorder="1" applyAlignment="1">
      <alignment horizontal="left"/>
    </xf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4" fontId="2" fillId="0" borderId="0" xfId="1" applyFont="1" applyFill="1" applyBorder="1" applyAlignment="1">
      <alignment horizontal="left"/>
    </xf>
    <xf numFmtId="165" fontId="2" fillId="0" borderId="0" xfId="3" applyNumberFormat="1" applyFont="1" applyFill="1" applyBorder="1" applyAlignment="1" applyProtection="1">
      <alignment wrapText="1"/>
    </xf>
    <xf numFmtId="165" fontId="2" fillId="0" borderId="0" xfId="0" applyNumberFormat="1" applyFont="1" applyFill="1" applyBorder="1" applyAlignment="1"/>
    <xf numFmtId="165" fontId="2" fillId="0" borderId="0" xfId="3" applyNumberFormat="1" applyFont="1" applyFill="1" applyBorder="1" applyAlignment="1" applyProtection="1"/>
    <xf numFmtId="165" fontId="0" fillId="0" borderId="0" xfId="0" applyNumberFormat="1" applyFill="1" applyBorder="1"/>
    <xf numFmtId="166" fontId="0" fillId="0" borderId="0" xfId="0" applyNumberFormat="1" applyFill="1" applyBorder="1"/>
    <xf numFmtId="3" fontId="2" fillId="0" borderId="0" xfId="0" applyNumberFormat="1" applyFont="1" applyFill="1" applyBorder="1"/>
    <xf numFmtId="166" fontId="3" fillId="0" borderId="0" xfId="0" applyNumberFormat="1" applyFont="1" applyFill="1" applyBorder="1"/>
    <xf numFmtId="0" fontId="6" fillId="0" borderId="0" xfId="0" applyFont="1"/>
    <xf numFmtId="168" fontId="0" fillId="0" borderId="0" xfId="1" applyNumberFormat="1" applyFont="1" applyFill="1"/>
    <xf numFmtId="49" fontId="7" fillId="0" borderId="2" xfId="0" applyNumberFormat="1" applyFont="1" applyFill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167" fontId="7" fillId="0" borderId="0" xfId="1" applyNumberFormat="1" applyFont="1" applyFill="1"/>
    <xf numFmtId="166" fontId="7" fillId="0" borderId="0" xfId="0" applyNumberFormat="1" applyFont="1" applyFill="1"/>
    <xf numFmtId="0" fontId="0" fillId="2" borderId="0" xfId="0" applyFill="1"/>
    <xf numFmtId="0" fontId="6" fillId="2" borderId="0" xfId="0" applyFont="1" applyFill="1"/>
    <xf numFmtId="168" fontId="10" fillId="0" borderId="0" xfId="0" applyNumberFormat="1" applyFont="1"/>
    <xf numFmtId="168" fontId="10" fillId="0" borderId="0" xfId="0" applyNumberFormat="1" applyFont="1" applyFill="1" applyBorder="1"/>
    <xf numFmtId="168" fontId="10" fillId="0" borderId="0" xfId="0" applyNumberFormat="1" applyFont="1" applyFill="1"/>
    <xf numFmtId="168" fontId="11" fillId="0" borderId="2" xfId="0" applyNumberFormat="1" applyFont="1" applyFill="1" applyBorder="1" applyAlignment="1">
      <alignment horizontal="center"/>
    </xf>
    <xf numFmtId="168" fontId="10" fillId="0" borderId="0" xfId="2" applyNumberFormat="1" applyFont="1" applyFill="1"/>
    <xf numFmtId="168" fontId="10" fillId="0" borderId="1" xfId="0" applyNumberFormat="1" applyFont="1" applyFill="1" applyBorder="1"/>
    <xf numFmtId="168" fontId="10" fillId="2" borderId="0" xfId="0" applyNumberFormat="1" applyFont="1" applyFill="1"/>
    <xf numFmtId="165" fontId="12" fillId="2" borderId="0" xfId="0" applyNumberFormat="1" applyFont="1" applyFill="1" applyBorder="1"/>
    <xf numFmtId="165" fontId="0" fillId="0" borderId="0" xfId="1" applyNumberFormat="1" applyFont="1" applyFill="1" applyBorder="1"/>
    <xf numFmtId="165" fontId="7" fillId="0" borderId="0" xfId="1" applyNumberFormat="1" applyFont="1" applyFill="1" applyBorder="1"/>
    <xf numFmtId="165" fontId="3" fillId="0" borderId="0" xfId="1" applyNumberFormat="1" applyFont="1" applyFill="1" applyBorder="1"/>
    <xf numFmtId="165" fontId="14" fillId="0" borderId="0" xfId="1" applyNumberFormat="1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44.28515625" customWidth="1"/>
    <col min="2" max="2" width="8.140625" bestFit="1" customWidth="1"/>
    <col min="3" max="8" width="10.42578125" style="25" customWidth="1"/>
    <col min="10" max="11" width="10.28515625" bestFit="1" customWidth="1"/>
  </cols>
  <sheetData>
    <row r="1" spans="1:17" x14ac:dyDescent="0.25">
      <c r="A1" t="s">
        <v>66</v>
      </c>
    </row>
    <row r="2" spans="1:17" s="1" customFormat="1" x14ac:dyDescent="0.25">
      <c r="A2" s="16" t="s">
        <v>76</v>
      </c>
      <c r="B2" s="5"/>
      <c r="C2" s="26"/>
      <c r="D2" s="26"/>
      <c r="E2" s="27"/>
      <c r="F2" s="27"/>
      <c r="G2" s="27"/>
      <c r="H2" s="27"/>
      <c r="I2" s="2"/>
      <c r="J2" s="2"/>
      <c r="K2" s="2"/>
      <c r="L2" s="2"/>
      <c r="M2" s="2"/>
      <c r="N2" s="2"/>
    </row>
    <row r="3" spans="1:17" s="1" customFormat="1" x14ac:dyDescent="0.25">
      <c r="A3" s="15" t="s">
        <v>70</v>
      </c>
      <c r="B3" s="5"/>
      <c r="C3" s="26"/>
      <c r="D3" s="26"/>
      <c r="E3" s="27"/>
      <c r="F3" s="27"/>
      <c r="G3" s="27"/>
      <c r="H3" s="27"/>
      <c r="I3" s="2"/>
      <c r="J3" s="2"/>
      <c r="K3" s="2"/>
      <c r="L3" s="2"/>
      <c r="M3" s="2"/>
      <c r="N3" s="2"/>
    </row>
    <row r="4" spans="1:17" s="1" customFormat="1" x14ac:dyDescent="0.25">
      <c r="A4" s="14"/>
      <c r="B4" s="5"/>
      <c r="C4" s="26"/>
      <c r="D4" s="26"/>
      <c r="E4" s="27"/>
      <c r="F4" s="27"/>
      <c r="G4" s="27"/>
      <c r="H4" s="27"/>
      <c r="I4" s="2"/>
      <c r="J4" s="2"/>
      <c r="K4" s="2"/>
      <c r="L4" s="2"/>
      <c r="M4" s="2"/>
      <c r="N4" s="2"/>
    </row>
    <row r="5" spans="1:17" s="22" customFormat="1" ht="17.25" x14ac:dyDescent="0.25">
      <c r="A5" s="19" t="s">
        <v>67</v>
      </c>
      <c r="B5" s="20" t="s">
        <v>73</v>
      </c>
      <c r="C5" s="28" t="s">
        <v>64</v>
      </c>
      <c r="D5" s="28" t="s">
        <v>63</v>
      </c>
      <c r="E5" s="28" t="s">
        <v>62</v>
      </c>
      <c r="F5" s="28" t="s">
        <v>61</v>
      </c>
      <c r="G5" s="28" t="s">
        <v>71</v>
      </c>
      <c r="H5" s="28" t="s">
        <v>72</v>
      </c>
      <c r="I5" s="28" t="s">
        <v>77</v>
      </c>
      <c r="J5" s="21"/>
      <c r="K5" s="21"/>
      <c r="L5" s="21"/>
      <c r="M5" s="21"/>
      <c r="N5" s="21"/>
    </row>
    <row r="6" spans="1:17" s="1" customFormat="1" x14ac:dyDescent="0.25">
      <c r="A6" s="13"/>
      <c r="B6" s="5"/>
      <c r="C6" s="26"/>
      <c r="D6" s="26"/>
      <c r="E6" s="27"/>
      <c r="F6" s="27"/>
      <c r="G6" s="27"/>
      <c r="H6" s="27"/>
      <c r="I6" s="2"/>
      <c r="J6" s="2"/>
      <c r="K6" s="2"/>
      <c r="L6" s="2"/>
      <c r="M6" s="2"/>
      <c r="N6" s="2"/>
    </row>
    <row r="7" spans="1:17" s="1" customFormat="1" x14ac:dyDescent="0.25">
      <c r="A7" s="8" t="s">
        <v>60</v>
      </c>
      <c r="B7" s="5"/>
      <c r="C7" s="26"/>
      <c r="D7" s="26"/>
      <c r="E7" s="26"/>
      <c r="F7" s="26"/>
      <c r="G7" s="26"/>
      <c r="H7" s="29"/>
      <c r="I7" s="2"/>
      <c r="J7" s="2"/>
      <c r="K7" s="2"/>
      <c r="L7" s="2"/>
      <c r="M7" s="2"/>
      <c r="N7" s="2"/>
    </row>
    <row r="8" spans="1:17" s="1" customFormat="1" x14ac:dyDescent="0.25">
      <c r="A8" s="6" t="s">
        <v>59</v>
      </c>
      <c r="B8" s="9" t="s">
        <v>58</v>
      </c>
      <c r="C8" s="33">
        <f>0.20026992283306*100</f>
        <v>20.026992283306001</v>
      </c>
      <c r="D8" s="33">
        <f>0.0271605961078076*100</f>
        <v>2.7160596107807597</v>
      </c>
      <c r="E8" s="33">
        <f>0.28595236094818*100</f>
        <v>28.595236094817999</v>
      </c>
      <c r="F8" s="33">
        <f>0.000295252735136309*100</f>
        <v>2.9525273513630899E-2</v>
      </c>
      <c r="G8" s="33">
        <f>0.120800784043486*100</f>
        <v>12.080078404348599</v>
      </c>
      <c r="H8" s="33">
        <f>-0.11427536626358*100</f>
        <v>-11.427536626358</v>
      </c>
      <c r="I8" s="33">
        <f>-0.0348252122334994*100</f>
        <v>-3.4825212233499401</v>
      </c>
      <c r="J8" s="18"/>
      <c r="K8" s="18"/>
      <c r="L8" s="18"/>
      <c r="M8" s="18"/>
      <c r="N8" s="18"/>
      <c r="O8" s="18"/>
      <c r="P8" s="18"/>
      <c r="Q8" s="2"/>
    </row>
    <row r="9" spans="1:17" s="1" customFormat="1" x14ac:dyDescent="0.25">
      <c r="A9" s="10" t="s">
        <v>57</v>
      </c>
      <c r="B9" s="9" t="s">
        <v>56</v>
      </c>
      <c r="C9" s="33">
        <f>0.127833239151637*100</f>
        <v>12.783323915163699</v>
      </c>
      <c r="D9" s="33">
        <f>-0.06222780082215*100</f>
        <v>-6.2227800822150003</v>
      </c>
      <c r="E9" s="33">
        <f>-0.419519194201874*100</f>
        <v>-41.951919420187401</v>
      </c>
      <c r="F9" s="33">
        <f>-0.336874579267855*100</f>
        <v>-33.687457926785505</v>
      </c>
      <c r="G9" s="33">
        <f>0.281532268067925*100</f>
        <v>28.153226806792496</v>
      </c>
      <c r="H9" s="33">
        <f>0.150610851534661*100</f>
        <v>15.061085153466101</v>
      </c>
      <c r="I9" s="33">
        <f>-0.0607939668713903*100</f>
        <v>-6.0793966871390301</v>
      </c>
      <c r="J9" s="18"/>
      <c r="K9" s="18"/>
      <c r="L9" s="18"/>
      <c r="M9" s="18"/>
      <c r="N9" s="18"/>
      <c r="O9" s="18"/>
      <c r="P9" s="18"/>
      <c r="Q9" s="2"/>
    </row>
    <row r="10" spans="1:17" s="1" customFormat="1" x14ac:dyDescent="0.25">
      <c r="A10" s="10" t="s">
        <v>55</v>
      </c>
      <c r="B10" s="9" t="s">
        <v>54</v>
      </c>
      <c r="C10" s="33">
        <f>-0.156408787677392*100</f>
        <v>-15.640878767739199</v>
      </c>
      <c r="D10" s="33">
        <f>0.0601667814946845*100</f>
        <v>6.0166781494684498</v>
      </c>
      <c r="E10" s="33">
        <f>-0.136845825339488*100</f>
        <v>-13.684582533948801</v>
      </c>
      <c r="F10" s="33">
        <f>0.147094851071946*100</f>
        <v>14.709485107194601</v>
      </c>
      <c r="G10" s="33">
        <f>-0.000310257459756658*100</f>
        <v>-3.1025745975665802E-2</v>
      </c>
      <c r="H10" s="33">
        <f>0.0967424811911228*100</f>
        <v>9.6742481191122796</v>
      </c>
      <c r="I10" s="33">
        <f>-0.0569234764415797*100</f>
        <v>-5.6923476441579695</v>
      </c>
      <c r="J10" s="18"/>
      <c r="K10" s="18"/>
      <c r="L10" s="18"/>
      <c r="M10" s="18"/>
      <c r="N10" s="18"/>
      <c r="O10" s="18"/>
      <c r="P10" s="18"/>
      <c r="Q10" s="2"/>
    </row>
    <row r="11" spans="1:17" s="1" customFormat="1" x14ac:dyDescent="0.25">
      <c r="A11" s="10" t="s">
        <v>53</v>
      </c>
      <c r="B11" s="9" t="s">
        <v>52</v>
      </c>
      <c r="C11" s="33">
        <f>0.0890233504992464*100</f>
        <v>8.9023350499246394</v>
      </c>
      <c r="D11" s="33">
        <f>0.0463152872661101*100</f>
        <v>4.6315287266110099</v>
      </c>
      <c r="E11" s="33">
        <f>0.293437234858455*100</f>
        <v>29.343723485845501</v>
      </c>
      <c r="F11" s="33">
        <f>0.262743835585483*100</f>
        <v>26.274383558548298</v>
      </c>
      <c r="G11" s="33">
        <f>-0.136360868814384*100</f>
        <v>-13.6360868814384</v>
      </c>
      <c r="H11" s="33">
        <f>0.174854663488803*100</f>
        <v>17.485466348880298</v>
      </c>
      <c r="I11" s="33">
        <f>0.0818382410275305*100</f>
        <v>8.1838241027530501</v>
      </c>
      <c r="J11" s="18"/>
      <c r="K11" s="18"/>
      <c r="L11" s="18"/>
      <c r="M11" s="18"/>
      <c r="N11" s="18"/>
      <c r="O11" s="18"/>
      <c r="P11" s="18"/>
      <c r="Q11" s="2"/>
    </row>
    <row r="12" spans="1:17" s="1" customFormat="1" x14ac:dyDescent="0.25">
      <c r="A12" s="12" t="s">
        <v>51</v>
      </c>
      <c r="B12" s="9" t="s">
        <v>50</v>
      </c>
      <c r="C12" s="33">
        <f>0.0985973849197537*100</f>
        <v>9.8597384919753708</v>
      </c>
      <c r="D12" s="33">
        <f>0.0551856145879575*100</f>
        <v>5.5185614587957499</v>
      </c>
      <c r="E12" s="33">
        <f>-0.011341450625542*100</f>
        <v>-1.1341450625542</v>
      </c>
      <c r="F12" s="33">
        <f>-0.00924226336085976*100</f>
        <v>-0.92422633608597593</v>
      </c>
      <c r="G12" s="33">
        <f>-0.0119701717882386*100</f>
        <v>-1.1970171788238599</v>
      </c>
      <c r="H12" s="33">
        <f>-0.0414559787192623*100</f>
        <v>-4.1455978719262303</v>
      </c>
      <c r="I12" s="33">
        <f>-0.00975706536286269*100</f>
        <v>-0.97570653628626902</v>
      </c>
      <c r="J12" s="18"/>
      <c r="K12" s="18"/>
      <c r="L12" s="18"/>
      <c r="M12" s="18"/>
      <c r="N12" s="18"/>
      <c r="O12" s="18"/>
      <c r="P12" s="18"/>
      <c r="Q12" s="2"/>
    </row>
    <row r="13" spans="1:17" s="1" customFormat="1" x14ac:dyDescent="0.25">
      <c r="A13" s="10" t="s">
        <v>49</v>
      </c>
      <c r="B13" s="9" t="s">
        <v>48</v>
      </c>
      <c r="C13" s="33">
        <f>-0.263167150479978*100</f>
        <v>-26.316715047997803</v>
      </c>
      <c r="D13" s="33">
        <f>0.0886477855249193*100</f>
        <v>8.8647785524919289</v>
      </c>
      <c r="E13" s="33">
        <f>-0.279059974584738*100</f>
        <v>-27.905997458473802</v>
      </c>
      <c r="F13" s="33">
        <f>0.103980353895986*100</f>
        <v>10.398035389598601</v>
      </c>
      <c r="G13" s="33">
        <f>0.0531163230771288*100</f>
        <v>5.3116323077128804</v>
      </c>
      <c r="H13" s="33">
        <f>0.0886045053727791*100</f>
        <v>8.8604505372779094</v>
      </c>
      <c r="I13" s="33">
        <f>-0.151413497334978*100</f>
        <v>-15.141349733497799</v>
      </c>
      <c r="J13" s="18"/>
      <c r="K13" s="18"/>
      <c r="L13" s="18"/>
      <c r="M13" s="18"/>
      <c r="N13" s="18"/>
      <c r="O13" s="18"/>
      <c r="P13" s="18"/>
      <c r="Q13" s="2"/>
    </row>
    <row r="14" spans="1:17" s="1" customFormat="1" x14ac:dyDescent="0.25">
      <c r="A14" s="10" t="s">
        <v>47</v>
      </c>
      <c r="B14" s="9" t="s">
        <v>46</v>
      </c>
      <c r="C14" s="33">
        <f>0.24883901907532*100</f>
        <v>24.883901907532</v>
      </c>
      <c r="D14" s="33">
        <f>-0.0824614208041711*100</f>
        <v>-8.2461420804171102</v>
      </c>
      <c r="E14" s="33">
        <f>-0.166890937362494*100</f>
        <v>-16.689093736249401</v>
      </c>
      <c r="F14" s="33">
        <f>0.0922028221189504*100</f>
        <v>9.2202822118950394</v>
      </c>
      <c r="G14" s="33">
        <f>0.232631265628724*100</f>
        <v>23.263126562872401</v>
      </c>
      <c r="H14" s="33">
        <f>-0.0277639236854349*100</f>
        <v>-2.7763923685434899</v>
      </c>
      <c r="I14" s="33">
        <f>0.0062023068871655*100</f>
        <v>0.62023068871655007</v>
      </c>
      <c r="J14" s="18"/>
      <c r="K14" s="18"/>
      <c r="L14" s="18"/>
      <c r="M14" s="18"/>
      <c r="N14" s="18"/>
      <c r="O14" s="18"/>
      <c r="P14" s="18"/>
      <c r="Q14" s="2"/>
    </row>
    <row r="15" spans="1:17" s="1" customFormat="1" x14ac:dyDescent="0.25">
      <c r="A15" s="10" t="s">
        <v>45</v>
      </c>
      <c r="B15" s="9" t="s">
        <v>44</v>
      </c>
      <c r="C15" s="33">
        <f>0.123366299885187*100</f>
        <v>12.3366299885187</v>
      </c>
      <c r="D15" s="33">
        <f>0.0450001387532815*100</f>
        <v>4.5000138753281504</v>
      </c>
      <c r="E15" s="33">
        <f>-0.392455919348384*100</f>
        <v>-39.245591934838394</v>
      </c>
      <c r="F15" s="33">
        <f>-0.598570962307365*100</f>
        <v>-59.857096230736495</v>
      </c>
      <c r="G15" s="33">
        <f>0.753338470350011*100</f>
        <v>75.333847035001099</v>
      </c>
      <c r="H15" s="33">
        <f>0.309044601876302*100</f>
        <v>30.9044601876302</v>
      </c>
      <c r="I15" s="33">
        <f>-0.0875076224420895*100</f>
        <v>-8.7507622442089499</v>
      </c>
      <c r="J15" s="18"/>
      <c r="K15" s="18"/>
      <c r="L15" s="18"/>
      <c r="M15" s="18"/>
      <c r="N15" s="18"/>
      <c r="O15" s="18"/>
      <c r="P15" s="18"/>
      <c r="Q15" s="2"/>
    </row>
    <row r="16" spans="1:17" s="1" customFormat="1" x14ac:dyDescent="0.25">
      <c r="A16" s="10" t="s">
        <v>43</v>
      </c>
      <c r="B16" s="9" t="s">
        <v>42</v>
      </c>
      <c r="C16" s="33">
        <f>0.111383817277427*100</f>
        <v>11.138381727742699</v>
      </c>
      <c r="D16" s="33">
        <f>-0.0969140513438289*100</f>
        <v>-9.6914051343828902</v>
      </c>
      <c r="E16" s="33">
        <f>0.0940520443619619*100</f>
        <v>9.4052044361961897</v>
      </c>
      <c r="F16" s="33">
        <f>0.0473400194739833*100</f>
        <v>4.7340019473983297</v>
      </c>
      <c r="G16" s="33">
        <f>-0.141066013520475*100</f>
        <v>-14.106601352047498</v>
      </c>
      <c r="H16" s="33">
        <f>-0.0269015048728514*100</f>
        <v>-2.6901504872851398</v>
      </c>
      <c r="I16" s="33">
        <f>-0.0368811470890615*100</f>
        <v>-3.6881147089061499</v>
      </c>
      <c r="J16" s="18"/>
      <c r="K16" s="18"/>
      <c r="L16" s="18"/>
      <c r="M16" s="18"/>
      <c r="N16" s="18"/>
      <c r="O16" s="18"/>
      <c r="P16" s="18"/>
      <c r="Q16" s="2"/>
    </row>
    <row r="17" spans="1:17" s="1" customFormat="1" x14ac:dyDescent="0.25">
      <c r="A17" s="10" t="s">
        <v>41</v>
      </c>
      <c r="B17" s="5" t="s">
        <v>40</v>
      </c>
      <c r="C17" s="33">
        <f>0.0660237866010298*100</f>
        <v>6.6023786601029792</v>
      </c>
      <c r="D17" s="33">
        <f>0.0390860709538339*100</f>
        <v>3.90860709538339</v>
      </c>
      <c r="E17" s="33">
        <f>0.00245834841983972*100</f>
        <v>0.24583484198397199</v>
      </c>
      <c r="F17" s="33">
        <f>-0.0478330621509784*100</f>
        <v>-4.7833062150978396</v>
      </c>
      <c r="G17" s="33">
        <f>-0.0379104257743119*100</f>
        <v>-3.7910425774311896</v>
      </c>
      <c r="H17" s="33">
        <f>0.0283396449320901*100</f>
        <v>2.83396449320901</v>
      </c>
      <c r="I17" s="33">
        <f>-0.0464855012961832*100</f>
        <v>-4.6485501296183198</v>
      </c>
      <c r="J17" s="18"/>
      <c r="K17" s="18"/>
      <c r="L17" s="18"/>
      <c r="M17" s="18"/>
      <c r="N17" s="18"/>
      <c r="O17" s="18"/>
      <c r="P17" s="18"/>
      <c r="Q17" s="2"/>
    </row>
    <row r="18" spans="1:17" s="1" customFormat="1" x14ac:dyDescent="0.25">
      <c r="A18" s="11" t="s">
        <v>39</v>
      </c>
      <c r="B18" s="5" t="s">
        <v>38</v>
      </c>
      <c r="C18" s="33">
        <f>0.16087699461221*100</f>
        <v>16.087699461221</v>
      </c>
      <c r="D18" s="33">
        <f>0.0471820614953657*100</f>
        <v>4.7182061495365701</v>
      </c>
      <c r="E18" s="33">
        <f>-0.0296354760862334*100</f>
        <v>-2.9635476086233399</v>
      </c>
      <c r="F18" s="33">
        <f>-0.066554510666042*100</f>
        <v>-6.6554510666041997</v>
      </c>
      <c r="G18" s="33">
        <f>-0.0429885854166766*100</f>
        <v>-4.2988585416676601</v>
      </c>
      <c r="H18" s="33">
        <f>-0.0119907202310348*100</f>
        <v>-1.1990720231034802</v>
      </c>
      <c r="I18" s="33">
        <f>0.00495569385632422*100</f>
        <v>0.49556938563242198</v>
      </c>
      <c r="J18" s="18"/>
      <c r="K18" s="18"/>
      <c r="L18" s="18"/>
      <c r="M18" s="18"/>
      <c r="N18" s="18"/>
      <c r="O18" s="18"/>
      <c r="P18" s="18"/>
      <c r="Q18" s="2"/>
    </row>
    <row r="19" spans="1:17" s="1" customFormat="1" x14ac:dyDescent="0.25">
      <c r="A19" s="11" t="s">
        <v>37</v>
      </c>
      <c r="B19" s="9" t="s">
        <v>36</v>
      </c>
      <c r="C19" s="33">
        <f>0.00995173359753676*100</f>
        <v>0.99517335975367605</v>
      </c>
      <c r="D19" s="33">
        <f>-0.0854424231493494*100</f>
        <v>-8.5442423149349391</v>
      </c>
      <c r="E19" s="33">
        <f>0.0362372630249719*100</f>
        <v>3.62372630249719</v>
      </c>
      <c r="F19" s="33">
        <f>0.0245986331290839*100</f>
        <v>2.4598633129083902</v>
      </c>
      <c r="G19" s="33">
        <f>0.0343663734747475*100</f>
        <v>3.4366373474747496</v>
      </c>
      <c r="H19" s="33">
        <f>0.0538552970380064*100</f>
        <v>5.38552970380064</v>
      </c>
      <c r="I19" s="33">
        <f>-0.0149018585127917*100</f>
        <v>-1.4901858512791699</v>
      </c>
      <c r="J19" s="18"/>
      <c r="K19" s="18"/>
      <c r="L19" s="18"/>
      <c r="M19" s="18"/>
      <c r="N19" s="18"/>
      <c r="O19" s="18"/>
      <c r="P19" s="18"/>
      <c r="Q19" s="2"/>
    </row>
    <row r="20" spans="1:17" s="1" customFormat="1" x14ac:dyDescent="0.25">
      <c r="A20" s="10" t="s">
        <v>35</v>
      </c>
      <c r="B20" s="9" t="s">
        <v>34</v>
      </c>
      <c r="C20" s="33">
        <f>0.052961301651238*100</f>
        <v>5.2961301651238006</v>
      </c>
      <c r="D20" s="33">
        <f>0.0902962371583917*100</f>
        <v>9.0296237158391701</v>
      </c>
      <c r="E20" s="33">
        <f>-0.00266705345039298*100</f>
        <v>-0.26670534503929799</v>
      </c>
      <c r="F20" s="33">
        <f>-0.00881733358701786*100</f>
        <v>-0.88173335870178593</v>
      </c>
      <c r="G20" s="33">
        <f>0.020808914328867*100</f>
        <v>2.0808914328867001</v>
      </c>
      <c r="H20" s="33">
        <f>0.000183129192914189*100</f>
        <v>1.83129192914189E-2</v>
      </c>
      <c r="I20" s="33">
        <f>0.0105728206450024*100</f>
        <v>1.0572820645002401</v>
      </c>
      <c r="J20" s="18"/>
      <c r="K20" s="18"/>
      <c r="L20" s="18"/>
      <c r="M20" s="18"/>
      <c r="N20" s="18"/>
      <c r="O20" s="18"/>
      <c r="P20" s="18"/>
      <c r="Q20" s="2"/>
    </row>
    <row r="21" spans="1:17" s="1" customFormat="1" x14ac:dyDescent="0.25">
      <c r="A21" s="10" t="s">
        <v>33</v>
      </c>
      <c r="B21" s="9" t="s">
        <v>32</v>
      </c>
      <c r="C21" s="33">
        <f>0.0314043983146144*100</f>
        <v>3.1404398314614399</v>
      </c>
      <c r="D21" s="33">
        <f>0.0960950126955551*100</f>
        <v>9.6095012695555084</v>
      </c>
      <c r="E21" s="33">
        <f>-0.08497648632293*100</f>
        <v>-8.497648632293</v>
      </c>
      <c r="F21" s="33">
        <f>-0.0326236403059782*100</f>
        <v>-3.2623640305978197</v>
      </c>
      <c r="G21" s="33">
        <f>-0.0509610132506924*100</f>
        <v>-5.09610132506924</v>
      </c>
      <c r="H21" s="33">
        <f>-0.0234368878508416*100</f>
        <v>-2.3436887850841597</v>
      </c>
      <c r="I21" s="33">
        <f>0.0158304104536955*100</f>
        <v>1.58304104536955</v>
      </c>
      <c r="J21" s="18"/>
      <c r="K21" s="18"/>
      <c r="L21" s="18"/>
      <c r="M21" s="18"/>
      <c r="N21" s="18"/>
      <c r="O21" s="18"/>
      <c r="P21" s="18"/>
      <c r="Q21" s="2"/>
    </row>
    <row r="22" spans="1:17" s="1" customFormat="1" x14ac:dyDescent="0.25">
      <c r="A22" s="10" t="s">
        <v>31</v>
      </c>
      <c r="B22" s="9" t="s">
        <v>30</v>
      </c>
      <c r="C22" s="33">
        <f>0.0556689688516518*100</f>
        <v>5.5668968851651801</v>
      </c>
      <c r="D22" s="33">
        <f>0.00294112340388253*100</f>
        <v>0.29411234038825301</v>
      </c>
      <c r="E22" s="33">
        <f>0.0137666427645544*100</f>
        <v>1.37666427645544</v>
      </c>
      <c r="F22" s="33">
        <f>-0.000125634539811958*100</f>
        <v>-1.25634539811958E-2</v>
      </c>
      <c r="G22" s="33">
        <f>0.176034163582437*100</f>
        <v>17.603416358243702</v>
      </c>
      <c r="H22" s="33">
        <f>0.00338611395883004*100</f>
        <v>0.33861139588300404</v>
      </c>
      <c r="I22" s="33">
        <f>0.0367776771072366*100</f>
        <v>3.6777677107236602</v>
      </c>
      <c r="J22" s="18"/>
      <c r="K22" s="18"/>
      <c r="L22" s="18"/>
      <c r="M22" s="18"/>
      <c r="N22" s="18"/>
      <c r="O22" s="18"/>
      <c r="P22" s="18"/>
      <c r="Q22" s="2"/>
    </row>
    <row r="23" spans="1:17" s="1" customFormat="1" x14ac:dyDescent="0.25">
      <c r="A23" s="10" t="s">
        <v>29</v>
      </c>
      <c r="B23" s="9" t="s">
        <v>28</v>
      </c>
      <c r="C23" s="33">
        <f>0.000881667604777814*100</f>
        <v>8.8166760477781408E-2</v>
      </c>
      <c r="D23" s="33">
        <f>0.0026281887205768*100</f>
        <v>0.26281887205768001</v>
      </c>
      <c r="E23" s="33">
        <f>0.0120075911139308*100</f>
        <v>1.20075911139308</v>
      </c>
      <c r="F23" s="33">
        <f>0.0147710695670582*100</f>
        <v>1.4771069567058199</v>
      </c>
      <c r="G23" s="33">
        <f>0.0177150336307716*100</f>
        <v>1.7715033630771599</v>
      </c>
      <c r="H23" s="33">
        <f>0.014841912287282*100</f>
        <v>1.4841912287282</v>
      </c>
      <c r="I23" s="33">
        <f>0.0205005831173541*100</f>
        <v>2.0500583117354103</v>
      </c>
      <c r="J23" s="18"/>
      <c r="K23" s="18"/>
      <c r="L23" s="18"/>
      <c r="M23" s="18"/>
      <c r="N23" s="18"/>
      <c r="O23" s="18"/>
      <c r="P23" s="18"/>
      <c r="Q23" s="2"/>
    </row>
    <row r="24" spans="1:17" s="1" customFormat="1" x14ac:dyDescent="0.25">
      <c r="A24" s="10" t="s">
        <v>27</v>
      </c>
      <c r="B24" s="5" t="s">
        <v>26</v>
      </c>
      <c r="C24" s="33">
        <f>0.194475995259293*100</f>
        <v>19.447599525929299</v>
      </c>
      <c r="D24" s="33">
        <f>0.0494919071147875*100</f>
        <v>4.9491907114787503</v>
      </c>
      <c r="E24" s="33">
        <f>0.0100041597251375*100</f>
        <v>1.00041597251375</v>
      </c>
      <c r="F24" s="33">
        <f>-0.0162298637297045*100</f>
        <v>-1.6229863729704499</v>
      </c>
      <c r="G24" s="33">
        <f>0.0465738030045861*100</f>
        <v>4.6573803004586098</v>
      </c>
      <c r="H24" s="33">
        <f>0.120230007539823*100</f>
        <v>12.0230007539823</v>
      </c>
      <c r="I24" s="33">
        <f>-0.0367447443325516*100</f>
        <v>-3.6744744332551602</v>
      </c>
      <c r="J24" s="18"/>
      <c r="K24" s="18"/>
      <c r="L24" s="18"/>
      <c r="M24" s="18"/>
      <c r="N24" s="18"/>
      <c r="O24" s="18"/>
      <c r="P24" s="18"/>
      <c r="Q24" s="2"/>
    </row>
    <row r="25" spans="1:17" s="1" customFormat="1" x14ac:dyDescent="0.25">
      <c r="A25" s="10" t="s">
        <v>25</v>
      </c>
      <c r="B25" s="5" t="s">
        <v>24</v>
      </c>
      <c r="C25" s="33">
        <f>0.343172154458055*100</f>
        <v>34.317215445805502</v>
      </c>
      <c r="D25" s="33">
        <f>-0.101363796465408*100</f>
        <v>-10.136379646540799</v>
      </c>
      <c r="E25" s="33">
        <f>0.114536741758811*100</f>
        <v>11.453674175881099</v>
      </c>
      <c r="F25" s="33">
        <f>0.0475126952372664*100</f>
        <v>4.7512695237266405</v>
      </c>
      <c r="G25" s="33">
        <f>0.00971029834923698*100</f>
        <v>0.9710298349236981</v>
      </c>
      <c r="H25" s="33">
        <f>0.00874053323319379*100</f>
        <v>0.87405332331937902</v>
      </c>
      <c r="I25" s="33">
        <f>0.00854942018592975*100</f>
        <v>0.85494201859297492</v>
      </c>
      <c r="J25" s="18"/>
      <c r="K25" s="18"/>
      <c r="L25" s="18"/>
      <c r="M25" s="18"/>
      <c r="N25" s="18"/>
      <c r="O25" s="18"/>
      <c r="P25" s="18"/>
      <c r="Q25" s="2"/>
    </row>
    <row r="26" spans="1:17" s="1" customFormat="1" x14ac:dyDescent="0.25">
      <c r="A26" s="10" t="s">
        <v>23</v>
      </c>
      <c r="B26" s="5" t="s">
        <v>22</v>
      </c>
      <c r="C26" s="33">
        <f>0.0866497270253077*100</f>
        <v>8.6649727025307701</v>
      </c>
      <c r="D26" s="33">
        <f>0.078533587761392*100</f>
        <v>7.853358776139201</v>
      </c>
      <c r="E26" s="33">
        <f>0.128440405117398*100</f>
        <v>12.844040511739799</v>
      </c>
      <c r="F26" s="33">
        <f>0.00688778384562694*100</f>
        <v>0.68877838456269402</v>
      </c>
      <c r="G26" s="33">
        <f>-0.00370378333611554*100</f>
        <v>-0.37037833361155398</v>
      </c>
      <c r="H26" s="33">
        <f>-0.0124896657522483*100</f>
        <v>-1.24896657522483</v>
      </c>
      <c r="I26" s="33">
        <f>0.0434706321682174*100</f>
        <v>4.3470632168217405</v>
      </c>
      <c r="J26" s="18"/>
      <c r="K26" s="18"/>
      <c r="L26" s="18"/>
      <c r="M26" s="18"/>
      <c r="N26" s="18"/>
      <c r="O26" s="18"/>
      <c r="P26" s="18"/>
      <c r="Q26" s="2"/>
    </row>
    <row r="27" spans="1:17" s="1" customFormat="1" x14ac:dyDescent="0.25">
      <c r="A27" s="10" t="s">
        <v>21</v>
      </c>
      <c r="B27" s="9" t="s">
        <v>20</v>
      </c>
      <c r="C27" s="33">
        <f>0.0279951243287406*100</f>
        <v>2.7995124328740602</v>
      </c>
      <c r="D27" s="33">
        <f>-0.0195758166155091*100</f>
        <v>-1.9575816615509101</v>
      </c>
      <c r="E27" s="33">
        <f>0.354123744920251*100</f>
        <v>35.412374492025101</v>
      </c>
      <c r="F27" s="33">
        <f>-0.179850021089096*100</f>
        <v>-17.985002108909601</v>
      </c>
      <c r="G27" s="33">
        <f>-0.0673300505846398*100</f>
        <v>-6.7330050584639798</v>
      </c>
      <c r="H27" s="33">
        <f>-0.00123787287711996*100</f>
        <v>-0.12378728771199601</v>
      </c>
      <c r="I27" s="33">
        <f>0.0068484547126344*100</f>
        <v>0.68484547126343998</v>
      </c>
      <c r="J27" s="18"/>
      <c r="K27" s="18"/>
      <c r="L27" s="18"/>
      <c r="M27" s="18"/>
      <c r="N27" s="18"/>
      <c r="O27" s="18"/>
      <c r="P27" s="18"/>
      <c r="Q27" s="2"/>
    </row>
    <row r="28" spans="1:17" s="1" customFormat="1" x14ac:dyDescent="0.25">
      <c r="A28" s="10" t="s">
        <v>19</v>
      </c>
      <c r="B28" s="9" t="s">
        <v>18</v>
      </c>
      <c r="C28" s="33">
        <f>0.0786031411424457*100</f>
        <v>7.8603141142445692</v>
      </c>
      <c r="D28" s="33">
        <f>0.0735899557311275*100</f>
        <v>7.3589955731127503</v>
      </c>
      <c r="E28" s="33">
        <f>0.117888971747712*100</f>
        <v>11.788897174771201</v>
      </c>
      <c r="F28" s="33">
        <f>-0.04629754931213*100</f>
        <v>-4.6297549312130002</v>
      </c>
      <c r="G28" s="33">
        <f>0.0525177711705196*100</f>
        <v>5.2517771170519607</v>
      </c>
      <c r="H28" s="33">
        <f>-0.00399681278848885*100</f>
        <v>-0.39968127884888505</v>
      </c>
      <c r="I28" s="33">
        <f>0.146660467266119*100</f>
        <v>14.666046726611901</v>
      </c>
      <c r="J28" s="18"/>
      <c r="K28" s="18"/>
      <c r="L28" s="18"/>
      <c r="M28" s="18"/>
      <c r="N28" s="18"/>
      <c r="O28" s="18"/>
      <c r="P28" s="18"/>
      <c r="Q28" s="2"/>
    </row>
    <row r="29" spans="1:17" s="1" customFormat="1" x14ac:dyDescent="0.25">
      <c r="A29" s="10" t="s">
        <v>17</v>
      </c>
      <c r="B29" s="9" t="s">
        <v>16</v>
      </c>
      <c r="C29" s="33">
        <f>0.213231287630959*100</f>
        <v>21.323128763095902</v>
      </c>
      <c r="D29" s="33">
        <f>0.057439828583483*100</f>
        <v>5.7439828583482999</v>
      </c>
      <c r="E29" s="33">
        <f>0.0047547818480258*100</f>
        <v>0.47547818480258003</v>
      </c>
      <c r="F29" s="33">
        <f>-0.123481713609426*100</f>
        <v>-12.348171360942601</v>
      </c>
      <c r="G29" s="33">
        <f>-0.0342944160950116*100</f>
        <v>-3.4294416095011595</v>
      </c>
      <c r="H29" s="33">
        <f>0.0111752770862155*100</f>
        <v>1.11752770862155</v>
      </c>
      <c r="I29" s="33">
        <f>0.00499303508632565*100</f>
        <v>0.49930350863256495</v>
      </c>
      <c r="J29" s="18"/>
      <c r="K29" s="18"/>
      <c r="L29" s="18"/>
      <c r="M29" s="18"/>
      <c r="N29" s="18"/>
      <c r="O29" s="18"/>
      <c r="P29" s="18"/>
      <c r="Q29" s="2"/>
    </row>
    <row r="30" spans="1:17" s="1" customFormat="1" x14ac:dyDescent="0.25">
      <c r="A30" s="10" t="s">
        <v>15</v>
      </c>
      <c r="B30" s="9" t="s">
        <v>14</v>
      </c>
      <c r="C30" s="33">
        <f>0.176128971179127*100</f>
        <v>17.612897117912699</v>
      </c>
      <c r="D30" s="33">
        <f>0.0441980064710543*100</f>
        <v>4.4198006471054301</v>
      </c>
      <c r="E30" s="33">
        <f>0.0944753402154199*100</f>
        <v>9.4475340215419887</v>
      </c>
      <c r="F30" s="33">
        <f>0.015310517471689*100</f>
        <v>1.5310517471689</v>
      </c>
      <c r="G30" s="33">
        <f>0.0100285093522794*100</f>
        <v>1.00285093522794</v>
      </c>
      <c r="H30" s="33">
        <f>0.0131549149033505*100</f>
        <v>1.3154914903350501</v>
      </c>
      <c r="I30" s="33">
        <f>0.021526536271365*100</f>
        <v>2.1526536271365</v>
      </c>
      <c r="J30" s="18"/>
      <c r="K30" s="18"/>
      <c r="L30" s="18"/>
      <c r="M30" s="18"/>
      <c r="N30" s="18"/>
      <c r="O30" s="18"/>
      <c r="P30" s="18"/>
      <c r="Q30" s="2"/>
    </row>
    <row r="31" spans="1:17" s="1" customFormat="1" x14ac:dyDescent="0.25">
      <c r="A31" s="10" t="s">
        <v>13</v>
      </c>
      <c r="B31" s="9" t="s">
        <v>12</v>
      </c>
      <c r="C31" s="33">
        <f>0.40846462997585*100</f>
        <v>40.846462997585</v>
      </c>
      <c r="D31" s="33">
        <f>0.0626329535343493*100</f>
        <v>6.2632953534349305</v>
      </c>
      <c r="E31" s="33">
        <f>0.139370668963745*100</f>
        <v>13.9370668963745</v>
      </c>
      <c r="F31" s="33">
        <f>0.0399782945791218*100</f>
        <v>3.9978294579121796</v>
      </c>
      <c r="G31" s="33">
        <f>0.0112874598265618*100</f>
        <v>1.1287459826561799</v>
      </c>
      <c r="H31" s="33">
        <f>0.0114263316173435*100</f>
        <v>1.1426331617343501</v>
      </c>
      <c r="I31" s="33">
        <f>0.0123694565394861*100</f>
        <v>1.2369456539486101</v>
      </c>
      <c r="J31" s="18"/>
      <c r="K31" s="18"/>
      <c r="L31" s="18"/>
      <c r="M31" s="18"/>
      <c r="N31" s="18"/>
      <c r="O31" s="18"/>
      <c r="P31" s="18"/>
      <c r="Q31" s="2"/>
    </row>
    <row r="32" spans="1:17" s="1" customFormat="1" x14ac:dyDescent="0.25">
      <c r="A32" s="7" t="s">
        <v>68</v>
      </c>
      <c r="B32" s="5"/>
      <c r="C32" s="33">
        <f>0.0687010399419752*100</f>
        <v>6.8701039941975202</v>
      </c>
      <c r="D32" s="33">
        <f>-0.000407463698796851*100</f>
        <v>-4.07463698796851E-2</v>
      </c>
      <c r="E32" s="33">
        <f>-0.00470540312152823*100</f>
        <v>-0.47054031215282299</v>
      </c>
      <c r="F32" s="33">
        <f>0.0257138548078581*100</f>
        <v>2.5713854807858101</v>
      </c>
      <c r="G32" s="33">
        <f>0.16582194899337*100</f>
        <v>16.582194899337001</v>
      </c>
      <c r="H32" s="33">
        <f>0.0270290650095177*100</f>
        <v>2.7029065009517699</v>
      </c>
      <c r="I32" s="33">
        <f>0.0638219305598926*100</f>
        <v>6.3821930559892603</v>
      </c>
      <c r="J32" s="18"/>
      <c r="K32" s="18"/>
      <c r="L32" s="18"/>
      <c r="M32" s="18"/>
      <c r="N32" s="18"/>
      <c r="O32" s="18"/>
      <c r="P32" s="18"/>
      <c r="Q32" s="2"/>
    </row>
    <row r="33" spans="1:17" s="1" customFormat="1" x14ac:dyDescent="0.25">
      <c r="A33" s="7" t="s">
        <v>11</v>
      </c>
      <c r="B33" s="5"/>
      <c r="C33" s="33">
        <f>0.0621886974663091*100</f>
        <v>6.2188697466309097</v>
      </c>
      <c r="D33" s="33">
        <f>0.0124471200447294*100</f>
        <v>1.2447120044729401</v>
      </c>
      <c r="E33" s="33">
        <f>-0.111958971912003*100</f>
        <v>-11.1958971912003</v>
      </c>
      <c r="F33" s="33">
        <f>-0.0636161628462516*100</f>
        <v>-6.3616162846251605</v>
      </c>
      <c r="G33" s="33">
        <f>0.0310789116050454*100</f>
        <v>3.1078911605045398</v>
      </c>
      <c r="H33" s="33">
        <f>0.0434580755125347*100</f>
        <v>4.3458075512534702</v>
      </c>
      <c r="I33" s="33">
        <f>-0.0185271761467327*100</f>
        <v>-1.8527176146732698</v>
      </c>
      <c r="J33" s="18"/>
      <c r="K33" s="18"/>
      <c r="L33" s="18"/>
      <c r="M33" s="18"/>
      <c r="N33" s="18"/>
      <c r="O33" s="18"/>
      <c r="P33" s="18"/>
      <c r="Q33" s="2"/>
    </row>
    <row r="34" spans="1:17" s="1" customFormat="1" x14ac:dyDescent="0.25">
      <c r="A34" s="7" t="s">
        <v>10</v>
      </c>
      <c r="B34" s="5"/>
      <c r="C34" s="33">
        <f>0.0210518994203608*100</f>
        <v>2.10518994203608</v>
      </c>
      <c r="D34" s="33">
        <f>-0.118565583808096*100</f>
        <v>-11.856558380809599</v>
      </c>
      <c r="E34" s="33">
        <f>0.228621302624429*100</f>
        <v>22.8621302624429</v>
      </c>
      <c r="F34" s="33">
        <f>-0.0302609538116755*100</f>
        <v>-3.0260953811675502</v>
      </c>
      <c r="G34" s="33">
        <f>-0.279003758563991*100</f>
        <v>-27.900375856399101</v>
      </c>
      <c r="H34" s="33">
        <f>0.43450443811038*100</f>
        <v>43.450443811037999</v>
      </c>
      <c r="I34" s="33">
        <f>-0.102071488856062*100</f>
        <v>-10.2071488856062</v>
      </c>
      <c r="J34" s="18"/>
      <c r="K34" s="18"/>
      <c r="L34" s="18"/>
      <c r="M34" s="18"/>
      <c r="N34" s="18"/>
      <c r="O34" s="18"/>
      <c r="P34" s="18"/>
      <c r="Q34" s="2"/>
    </row>
    <row r="35" spans="1:17" s="1" customFormat="1" x14ac:dyDescent="0.25">
      <c r="A35" s="8" t="s">
        <v>9</v>
      </c>
      <c r="B35" s="5"/>
      <c r="C35" s="34">
        <f>0.0605664229359115*100</f>
        <v>6.0566422935911506</v>
      </c>
      <c r="D35" s="34">
        <f>0.00747298904090266*100</f>
        <v>0.747298904090266</v>
      </c>
      <c r="E35" s="34">
        <f>-0.100645917051997*100</f>
        <v>-10.064591705199701</v>
      </c>
      <c r="F35" s="34">
        <f>-0.0621025618702837*100</f>
        <v>-6.2102561870283699</v>
      </c>
      <c r="G35" s="34">
        <f>0.0165301924430235*100</f>
        <v>1.6530192443023499</v>
      </c>
      <c r="H35" s="34">
        <f>0.056471399262203*100</f>
        <v>5.6471399262202997</v>
      </c>
      <c r="I35" s="34">
        <f>-0.0223022115275182*100</f>
        <v>-2.2302211527518203</v>
      </c>
      <c r="J35" s="18"/>
      <c r="K35" s="18"/>
      <c r="L35" s="18"/>
      <c r="M35" s="18"/>
      <c r="N35" s="18"/>
      <c r="O35" s="18"/>
      <c r="P35" s="18"/>
      <c r="Q35" s="2"/>
    </row>
    <row r="36" spans="1:17" s="1" customFormat="1" x14ac:dyDescent="0.25">
      <c r="A36" s="7" t="s">
        <v>8</v>
      </c>
      <c r="B36" s="5"/>
      <c r="C36" s="35"/>
      <c r="D36" s="35"/>
      <c r="E36" s="35"/>
      <c r="F36" s="35"/>
      <c r="G36" s="35"/>
      <c r="H36" s="35"/>
      <c r="I36" s="36"/>
      <c r="J36" s="18"/>
      <c r="K36" s="18"/>
      <c r="L36" s="18"/>
      <c r="M36" s="18"/>
      <c r="N36" s="18"/>
      <c r="O36" s="18"/>
      <c r="P36" s="18"/>
      <c r="Q36" s="2"/>
    </row>
    <row r="37" spans="1:17" s="1" customFormat="1" x14ac:dyDescent="0.25">
      <c r="A37" s="6" t="s">
        <v>7</v>
      </c>
      <c r="B37" s="5"/>
      <c r="C37" s="33">
        <f>0.0035465951454019*100</f>
        <v>0.35465951454019001</v>
      </c>
      <c r="D37" s="33">
        <f>-0.205944197507854*100</f>
        <v>-20.594419750785402</v>
      </c>
      <c r="E37" s="33">
        <f>-0.461241322577651*100</f>
        <v>-46.124132257765098</v>
      </c>
      <c r="F37" s="33">
        <f>-0.196848798151545*100</f>
        <v>-19.684879815154499</v>
      </c>
      <c r="G37" s="33">
        <f>0.266514359334093*100</f>
        <v>26.651435933409299</v>
      </c>
      <c r="H37" s="33">
        <f>0.152096049594979*100</f>
        <v>15.209604959497899</v>
      </c>
      <c r="I37" s="33">
        <f>-0.0830963855717223*100</f>
        <v>-8.3096385571722298</v>
      </c>
      <c r="J37" s="18"/>
      <c r="K37" s="18"/>
      <c r="L37" s="18"/>
      <c r="M37" s="18"/>
      <c r="N37" s="18"/>
      <c r="O37" s="18"/>
      <c r="P37" s="18"/>
      <c r="Q37" s="2"/>
    </row>
    <row r="38" spans="1:17" s="1" customFormat="1" x14ac:dyDescent="0.25">
      <c r="A38" s="6" t="s">
        <v>6</v>
      </c>
      <c r="B38" s="5"/>
      <c r="C38" s="33">
        <f>0.250983643669028*100</f>
        <v>25.098364366902796</v>
      </c>
      <c r="D38" s="33">
        <f>-0.198933020052955*100</f>
        <v>-19.893302005295499</v>
      </c>
      <c r="E38" s="33">
        <f>-0.520444164536205*100</f>
        <v>-52.044416453620499</v>
      </c>
      <c r="F38" s="33">
        <f>-0.231976132392346*100</f>
        <v>-23.197613239234599</v>
      </c>
      <c r="G38" s="33">
        <f>0.402372584168336*100</f>
        <v>40.237258416833598</v>
      </c>
      <c r="H38" s="33">
        <f>-0.121234397774184*100</f>
        <v>-12.123439777418401</v>
      </c>
      <c r="I38" s="33">
        <f>-0.0216792444575197*100</f>
        <v>-2.1679244457519697</v>
      </c>
      <c r="J38" s="18"/>
      <c r="K38" s="18"/>
      <c r="L38" s="18"/>
      <c r="M38" s="18"/>
      <c r="N38" s="18"/>
      <c r="O38" s="18"/>
      <c r="P38" s="18"/>
      <c r="Q38" s="2"/>
    </row>
    <row r="39" spans="1:17" s="1" customFormat="1" x14ac:dyDescent="0.25">
      <c r="A39" s="6" t="s">
        <v>5</v>
      </c>
      <c r="B39" s="5"/>
      <c r="C39" s="33">
        <f>0.165765716887388*100</f>
        <v>16.576571688738799</v>
      </c>
      <c r="D39" s="33">
        <f>0.0873355821700521*100</f>
        <v>8.7335582170052106</v>
      </c>
      <c r="E39" s="33">
        <f>-0.44073270765648*100</f>
        <v>-44.073270765647997</v>
      </c>
      <c r="F39" s="33">
        <f>-0.430028789426349*100</f>
        <v>-43.002878942634901</v>
      </c>
      <c r="G39" s="33">
        <f>0.399516429958749*100</f>
        <v>39.951642995874899</v>
      </c>
      <c r="H39" s="33">
        <f>0.258645768323237*100</f>
        <v>25.864576832323699</v>
      </c>
      <c r="I39" s="33">
        <f>-0.0469905188640645*100</f>
        <v>-4.6990518864064503</v>
      </c>
      <c r="J39" s="18"/>
      <c r="K39" s="18"/>
      <c r="L39" s="18"/>
      <c r="M39" s="18"/>
      <c r="N39" s="18"/>
      <c r="O39" s="18"/>
      <c r="P39" s="18"/>
      <c r="Q39" s="2"/>
    </row>
    <row r="40" spans="1:17" s="1" customFormat="1" x14ac:dyDescent="0.25">
      <c r="A40" s="6" t="s">
        <v>4</v>
      </c>
      <c r="B40" s="5"/>
      <c r="C40" s="33">
        <f>-0.125456182893082*100</f>
        <v>-12.5456182893082</v>
      </c>
      <c r="D40" s="33">
        <f>0.0233926449734447*100</f>
        <v>2.3392644973444701</v>
      </c>
      <c r="E40" s="33">
        <f>-0.377577324173038*100</f>
        <v>-37.757732417303799</v>
      </c>
      <c r="F40" s="33">
        <f>-0.110050592487107*100</f>
        <v>-11.005059248710699</v>
      </c>
      <c r="G40" s="33">
        <f>0.137744642908968*100</f>
        <v>13.774464290896802</v>
      </c>
      <c r="H40" s="33">
        <f>-0.316642748796155*100</f>
        <v>-31.664274879615501</v>
      </c>
      <c r="I40" s="33">
        <f>-0.316642748796156*100</f>
        <v>-31.664274879615601</v>
      </c>
      <c r="J40" s="18"/>
      <c r="K40" s="18"/>
      <c r="L40" s="18"/>
      <c r="M40" s="18"/>
      <c r="N40" s="18"/>
      <c r="O40" s="18"/>
      <c r="P40" s="18"/>
      <c r="Q40" s="2"/>
    </row>
    <row r="41" spans="1:17" s="1" customFormat="1" x14ac:dyDescent="0.25">
      <c r="A41" s="6" t="s">
        <v>3</v>
      </c>
      <c r="B41" s="5"/>
      <c r="C41" s="33">
        <f>0.327037495941578*100</f>
        <v>32.703749594157799</v>
      </c>
      <c r="D41" s="33">
        <f>-0.129699318218717*100</f>
        <v>-12.9699318218717</v>
      </c>
      <c r="E41" s="33">
        <f>0.0401781445239235*100</f>
        <v>4.0178144523923498</v>
      </c>
      <c r="F41" s="33">
        <f>-0.323553320930145*100</f>
        <v>-32.355332093014496</v>
      </c>
      <c r="G41" s="33">
        <f>-0.162001222657423*100</f>
        <v>-16.200122265742301</v>
      </c>
      <c r="H41" s="33">
        <f>-0.0325892985271833*100</f>
        <v>-3.2589298527183299</v>
      </c>
      <c r="I41" s="33">
        <f>-0.106064844406532*100</f>
        <v>-10.606484440653199</v>
      </c>
      <c r="J41" s="18"/>
      <c r="K41" s="18"/>
      <c r="L41" s="18"/>
      <c r="M41" s="18"/>
      <c r="N41" s="18"/>
      <c r="O41" s="18"/>
      <c r="P41" s="18"/>
      <c r="Q41" s="2"/>
    </row>
    <row r="42" spans="1:17" s="1" customFormat="1" x14ac:dyDescent="0.25">
      <c r="A42" s="6" t="s">
        <v>2</v>
      </c>
      <c r="B42" s="5"/>
      <c r="C42" s="33">
        <f>-0.270293212565899*100</f>
        <v>-27.029321256589899</v>
      </c>
      <c r="D42" s="33">
        <f>0.14145452251305*100</f>
        <v>14.145452251304999</v>
      </c>
      <c r="E42" s="33">
        <f>-0.473857510828923*100</f>
        <v>-47.385751082892305</v>
      </c>
      <c r="F42" s="33">
        <f>0.852135973353573*100</f>
        <v>85.213597335357306</v>
      </c>
      <c r="G42" s="33">
        <f>-0.117040022882763*100</f>
        <v>-11.7040022882763</v>
      </c>
      <c r="H42" s="33">
        <f>0.0125048394702407*100</f>
        <v>1.2504839470240701</v>
      </c>
      <c r="I42" s="33">
        <f>-0.205564986993775*100</f>
        <v>-20.556498699377499</v>
      </c>
      <c r="J42" s="18"/>
      <c r="K42" s="18"/>
      <c r="L42" s="18"/>
      <c r="M42" s="18"/>
      <c r="N42" s="18"/>
      <c r="O42" s="18"/>
      <c r="P42" s="18"/>
      <c r="Q42" s="2"/>
    </row>
    <row r="43" spans="1:17" s="1" customFormat="1" x14ac:dyDescent="0.25">
      <c r="A43" s="6" t="s">
        <v>1</v>
      </c>
      <c r="B43" s="5"/>
      <c r="C43" s="33">
        <f>-0.279187960983142*100</f>
        <v>-27.918796098314203</v>
      </c>
      <c r="D43" s="33">
        <f>0.0551954996013264*100</f>
        <v>5.5195499601326397</v>
      </c>
      <c r="E43" s="33">
        <f>-0.125509008842102*100</f>
        <v>-12.550900884210201</v>
      </c>
      <c r="F43" s="33">
        <f>-0.331355064493032*100</f>
        <v>-33.1355064493032</v>
      </c>
      <c r="G43" s="33">
        <f>0.318949188350013*100</f>
        <v>31.894918835001302</v>
      </c>
      <c r="H43" s="33">
        <f>0.177474143453221*100</f>
        <v>17.747414345322099</v>
      </c>
      <c r="I43" s="33">
        <f>-0.150656118274208*100</f>
        <v>-15.065611827420799</v>
      </c>
      <c r="J43" s="18"/>
      <c r="K43" s="18"/>
      <c r="L43" s="18"/>
      <c r="M43" s="18"/>
      <c r="N43" s="18"/>
      <c r="O43" s="18"/>
      <c r="P43" s="18"/>
      <c r="Q43" s="2"/>
    </row>
    <row r="44" spans="1:17" s="1" customFormat="1" x14ac:dyDescent="0.25">
      <c r="A44" s="6" t="s">
        <v>0</v>
      </c>
      <c r="B44" s="5"/>
      <c r="C44" s="33">
        <f>0.270140950758509*100</f>
        <v>27.014095075850904</v>
      </c>
      <c r="D44" s="33">
        <f>0.011742787018308*100</f>
        <v>1.1742787018308001</v>
      </c>
      <c r="E44" s="33">
        <f>-0.429731622102314*100</f>
        <v>-42.973162210231401</v>
      </c>
      <c r="F44" s="33">
        <f>-0.739226869184727*100</f>
        <v>-73.922686918472706</v>
      </c>
      <c r="G44" s="33">
        <f>1.74544523379959*100</f>
        <v>174.544523379959</v>
      </c>
      <c r="H44" s="33">
        <f>0.291161466306473*100</f>
        <v>29.1161466306473</v>
      </c>
      <c r="I44" s="33">
        <f>-0.139379150224035*100</f>
        <v>-13.9379150224035</v>
      </c>
      <c r="J44" s="18"/>
      <c r="K44" s="18"/>
      <c r="L44" s="18"/>
      <c r="M44" s="18"/>
      <c r="N44" s="18"/>
      <c r="O44" s="18"/>
      <c r="P44" s="18"/>
      <c r="Q44" s="2"/>
    </row>
    <row r="45" spans="1:17" s="1" customFormat="1" ht="15.75" thickBot="1" x14ac:dyDescent="0.3">
      <c r="A45" s="4"/>
      <c r="B45" s="3"/>
      <c r="C45" s="30"/>
      <c r="D45" s="30"/>
      <c r="E45" s="30"/>
      <c r="F45" s="30"/>
      <c r="G45" s="30"/>
      <c r="H45" s="30"/>
      <c r="I45" s="30"/>
    </row>
    <row r="46" spans="1:17" ht="15.75" thickTop="1" x14ac:dyDescent="0.25"/>
    <row r="47" spans="1:17" x14ac:dyDescent="0.25">
      <c r="A47" s="32" t="s">
        <v>69</v>
      </c>
      <c r="B47" s="23"/>
      <c r="C47" s="31"/>
      <c r="D47" s="31"/>
      <c r="E47" s="31"/>
      <c r="F47" s="31"/>
      <c r="G47" s="31"/>
      <c r="H47" s="31"/>
      <c r="I47" s="23"/>
    </row>
    <row r="48" spans="1:17" x14ac:dyDescent="0.25">
      <c r="A48" s="23"/>
      <c r="B48" s="23"/>
      <c r="C48" s="31"/>
      <c r="D48" s="31"/>
      <c r="E48" s="31"/>
      <c r="F48" s="31"/>
      <c r="G48" s="31"/>
      <c r="H48" s="31"/>
      <c r="I48" s="23"/>
    </row>
    <row r="49" spans="1:9" s="17" customFormat="1" ht="14.25" x14ac:dyDescent="0.2">
      <c r="A49" s="24" t="s">
        <v>74</v>
      </c>
      <c r="B49" s="24"/>
      <c r="C49" s="31"/>
      <c r="D49" s="31"/>
      <c r="E49" s="31"/>
      <c r="F49" s="31"/>
      <c r="G49" s="31"/>
      <c r="H49" s="31"/>
      <c r="I49" s="24"/>
    </row>
    <row r="50" spans="1:9" s="17" customFormat="1" ht="12.75" x14ac:dyDescent="0.2">
      <c r="A50" s="24" t="s">
        <v>65</v>
      </c>
      <c r="B50" s="24"/>
      <c r="C50" s="31"/>
      <c r="D50" s="31"/>
      <c r="E50" s="31"/>
      <c r="F50" s="31"/>
      <c r="G50" s="31"/>
      <c r="H50" s="31"/>
      <c r="I50" s="24"/>
    </row>
    <row r="51" spans="1:9" s="17" customFormat="1" ht="14.25" x14ac:dyDescent="0.2">
      <c r="A51" s="24" t="s">
        <v>75</v>
      </c>
      <c r="B51" s="24"/>
      <c r="C51" s="31"/>
      <c r="D51" s="31"/>
      <c r="E51" s="31"/>
      <c r="F51" s="31"/>
      <c r="G51" s="31"/>
      <c r="H51" s="31"/>
      <c r="I51" s="24"/>
    </row>
    <row r="52" spans="1:9" s="17" customFormat="1" ht="12.75" x14ac:dyDescent="0.2">
      <c r="A52" s="24"/>
      <c r="B52" s="24"/>
      <c r="C52" s="31"/>
      <c r="D52" s="31"/>
      <c r="E52" s="31"/>
      <c r="F52" s="31"/>
      <c r="G52" s="31"/>
      <c r="H52" s="31"/>
      <c r="I52" s="24"/>
    </row>
    <row r="53" spans="1:9" x14ac:dyDescent="0.25">
      <c r="A53" s="23"/>
      <c r="B53" s="23"/>
      <c r="C53" s="31"/>
      <c r="D53" s="31"/>
      <c r="E53" s="31"/>
      <c r="F53" s="31"/>
      <c r="G53" s="31"/>
      <c r="H53" s="31"/>
      <c r="I53" s="23"/>
    </row>
  </sheetData>
  <conditionalFormatting sqref="G18">
    <cfRule type="expression" priority="1">
      <formula>0*100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Current Prices (% Change)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Ramlochan</dc:creator>
  <cp:lastModifiedBy>Ava Dass</cp:lastModifiedBy>
  <dcterms:created xsi:type="dcterms:W3CDTF">2019-10-17T17:45:02Z</dcterms:created>
  <dcterms:modified xsi:type="dcterms:W3CDTF">2020-10-14T19:35:36Z</dcterms:modified>
</cp:coreProperties>
</file>